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BB9"/>
  <workbookPr codeName="ThisWorkbook"/>
  <bookViews>
    <workbookView showHorizontalScroll="0" showVerticalScroll="0" showSheetTabs="0" xWindow="240" yWindow="315" windowWidth="12120" windowHeight="8640" activeTab="0"/>
  </bookViews>
  <sheets>
    <sheet name="1-výběr" sheetId="1" r:id="rId1"/>
    <sheet name="3-nabídka" sheetId="2" r:id="rId2"/>
    <sheet name="4-technická specifikace" sheetId="3" r:id="rId3"/>
    <sheet name="Obrázek" sheetId="4" r:id="rId4"/>
    <sheet name="Objednacím číslem" sheetId="5" r:id="rId5"/>
    <sheet name="Tisk" sheetId="6" r:id="rId6"/>
    <sheet name="5-objednávka" sheetId="7" r:id="rId7"/>
  </sheets>
  <definedNames>
    <definedName name="EXTRACT" localSheetId="0">'1-výběr'!$DA$38:$DF$50</definedName>
    <definedName name="CRITERIA" localSheetId="0">'1-výběr'!$CH$3:$CI$4</definedName>
    <definedName name="mb9">'1-výběr'!$A$1</definedName>
  </definedNames>
  <calcPr fullCalcOnLoad="1"/>
</workbook>
</file>

<file path=xl/sharedStrings.xml><?xml version="1.0" encoding="utf-8"?>
<sst xmlns="http://schemas.openxmlformats.org/spreadsheetml/2006/main" count="16703" uniqueCount="5032">
  <si>
    <t>E6H 6300/F PR111/P-LI-In=6300A 4P W MP</t>
  </si>
  <si>
    <t>1SDA050804R0001</t>
  </si>
  <si>
    <t>E6H 6300/F PR111/P-LSI-In=6300A 4P W MP</t>
  </si>
  <si>
    <t>1SDA050805R0001</t>
  </si>
  <si>
    <t>E6H 6300/F PR111/P-LSIG-In=6300A 4P W MP</t>
  </si>
  <si>
    <t>1SDA050806R0001</t>
  </si>
  <si>
    <t>E6H 6300/F PR112/P-LSI-In=6300A 4P W MP</t>
  </si>
  <si>
    <t>1SDA050807R0001</t>
  </si>
  <si>
    <t>E6H 6300/F PR112/P-LSIG-In=6300A 4P W MP</t>
  </si>
  <si>
    <t>1SDA052802R0001</t>
  </si>
  <si>
    <t>E6H 6300/F PR113/P-LSIG-In=6300A 4P W MP</t>
  </si>
  <si>
    <t>1SDA050816R0001</t>
  </si>
  <si>
    <t>E6 W FP 4p HR-HR  N=100%</t>
  </si>
  <si>
    <t>1SDA050821R0001</t>
  </si>
  <si>
    <t>E6 W FP 4p VR-VR  N=100%</t>
  </si>
  <si>
    <t>1SDA050826R0001</t>
  </si>
  <si>
    <t>E6 W FP 4p F-F  N=100%</t>
  </si>
  <si>
    <t>1SDA050831R0001</t>
  </si>
  <si>
    <t>E6 W FP 4p FL-FL  N=100%</t>
  </si>
  <si>
    <t>1SDA048737R0001</t>
  </si>
  <si>
    <t>1SDA050810R0001</t>
  </si>
  <si>
    <t>E6H/f MS 5000  4p F HR</t>
  </si>
  <si>
    <t>1SDA050813R0001</t>
  </si>
  <si>
    <t>E6H/f MS 6300  4p F HR</t>
  </si>
  <si>
    <t>1SDA050812R0001</t>
  </si>
  <si>
    <t>E6H/f MS 5000  4p W MP</t>
  </si>
  <si>
    <t>1SDA050815R0001</t>
  </si>
  <si>
    <t>E6H/f MS 6300  4p W MP</t>
  </si>
  <si>
    <t>1SDA037541R0001</t>
  </si>
  <si>
    <t>E3H/E MS 1250  3p F HR</t>
  </si>
  <si>
    <t>1SDA037542R0001</t>
  </si>
  <si>
    <t>E3H/E MS 1600  3p F HR</t>
  </si>
  <si>
    <t>1SDA037543R0001</t>
  </si>
  <si>
    <t>E3H/E MS 2000  3p F HR</t>
  </si>
  <si>
    <t>1SDA037544R0001</t>
  </si>
  <si>
    <t>E3H/E MS 2500  3p F HR</t>
  </si>
  <si>
    <t>1SDA037545R0001</t>
  </si>
  <si>
    <t>E3H/E MS 3200  3p F HR</t>
  </si>
  <si>
    <t>1SDA037569R0001</t>
  </si>
  <si>
    <t>E3H/E MS 1250  4P F HR</t>
  </si>
  <si>
    <t>1SDA037570R0001</t>
  </si>
  <si>
    <t>E3H/E MS 1600  4P F HR</t>
  </si>
  <si>
    <t>1SDA037571R0001</t>
  </si>
  <si>
    <t>E3H/E MS 2000  4P F HR</t>
  </si>
  <si>
    <t>1SDA037572R0001</t>
  </si>
  <si>
    <t>E3H/E MS 2500  4P F HR</t>
  </si>
  <si>
    <t>1SDA037573R0001</t>
  </si>
  <si>
    <t>E3H/E MS 3200  4P F HR</t>
  </si>
  <si>
    <t>1SDA037667R0001</t>
  </si>
  <si>
    <t>E3H/E MS 1250  4P W MP</t>
  </si>
  <si>
    <t>1SDA037668R0001</t>
  </si>
  <si>
    <t>E3H/E MS 1600  4P W MP</t>
  </si>
  <si>
    <t>1SDA037669R0001</t>
  </si>
  <si>
    <t>E3H/E MS 2000  4P W MP</t>
  </si>
  <si>
    <t>1SDA037670R0001</t>
  </si>
  <si>
    <t>E3H/E MS 2500  4P W MP</t>
  </si>
  <si>
    <t>1SDA037671R0001</t>
  </si>
  <si>
    <t>E3H/E MS 3200  4P W MP</t>
  </si>
  <si>
    <t>1SDA037672R0001</t>
  </si>
  <si>
    <t>E3H/E MS 3200  3p W MP</t>
  </si>
  <si>
    <t>1SDA037673R0001</t>
  </si>
  <si>
    <t>E3H/E MS 2500  3p W MP</t>
  </si>
  <si>
    <t>1SDA037674R0001</t>
  </si>
  <si>
    <t>E3H/E MS 2000  3p W MP</t>
  </si>
  <si>
    <t>1SDA037675R0001</t>
  </si>
  <si>
    <t>E3H/E MS 1600  3p W MP</t>
  </si>
  <si>
    <t>1SDA037676R0001</t>
  </si>
  <si>
    <t>E3H/E MS 1250  3p W MP</t>
  </si>
  <si>
    <t>1SDA050617R0001</t>
  </si>
  <si>
    <t>E1B/E MS 800 750V DC 3p F HR</t>
  </si>
  <si>
    <t>1SDA050618R0001</t>
  </si>
  <si>
    <t>E1B/E MS 1250 750V DC 3p F HR</t>
  </si>
  <si>
    <t>1SDA050619R0001</t>
  </si>
  <si>
    <t>E2N/E MS 1250 750V DC 3p F HR</t>
  </si>
  <si>
    <t>1SDA050620R0001</t>
  </si>
  <si>
    <t>E2N/E MS 1600 750V DC 3p F HR</t>
  </si>
  <si>
    <t>1SDA050621R0001</t>
  </si>
  <si>
    <t>E2N/E MS 2000 750V DC 3p F HR</t>
  </si>
  <si>
    <t>1SDA050622R0001</t>
  </si>
  <si>
    <t>E3H/E MS 1250 750V DC 3p F HR</t>
  </si>
  <si>
    <t>1SDA050623R0001</t>
  </si>
  <si>
    <t>E3H/E MS 1600 750V DC 3p F HR</t>
  </si>
  <si>
    <t>1SDA050624R0001</t>
  </si>
  <si>
    <t>E3H/E MS 2000 750V DC 3p F HR</t>
  </si>
  <si>
    <t>1SDA050625R0001</t>
  </si>
  <si>
    <t>E3H/E MS 2500 750V DC 3p F HR</t>
  </si>
  <si>
    <t>1SDA050626R0001</t>
  </si>
  <si>
    <t>E3H/E MS 3200 750V DC 3p F HR</t>
  </si>
  <si>
    <t>1SDA050627R0001</t>
  </si>
  <si>
    <t>E4H/E MS 3200 750V DC 3p F HR</t>
  </si>
  <si>
    <t>1SDA050628R0001</t>
  </si>
  <si>
    <t>E4H/E MS 4000 750V DC 3p F HR</t>
  </si>
  <si>
    <t>1SDA051639R0001</t>
  </si>
  <si>
    <t>E1B/E MS 800 750V DC 3p W MP</t>
  </si>
  <si>
    <t>1SDA050640R0001</t>
  </si>
  <si>
    <t>E1B/E MS 1250 750V DC 3p W MP</t>
  </si>
  <si>
    <t>1SDA050641R0001</t>
  </si>
  <si>
    <t>E2N/E MS 1250 750V DC 3p W MP</t>
  </si>
  <si>
    <t>E2N/E MS 1600 750V DC 3p W MP</t>
  </si>
  <si>
    <t>1SDA050643R0001</t>
  </si>
  <si>
    <t>E2N/E MS 2000 750V DC 3p W MP</t>
  </si>
  <si>
    <t>1SDA050644R0001</t>
  </si>
  <si>
    <t>E3H/E MS 1250 750V DC 3p W MP</t>
  </si>
  <si>
    <t>1SDA050645R0001</t>
  </si>
  <si>
    <t>E3H/E MS 1600 750V DC 3p W MP</t>
  </si>
  <si>
    <t>1SDA050646R0001</t>
  </si>
  <si>
    <t>E3H/E MS 2000 750V DC 3p W MP</t>
  </si>
  <si>
    <t>1SDA050647R0001</t>
  </si>
  <si>
    <t>E3H/E MS 2500 750V DC 3p W MP</t>
  </si>
  <si>
    <t>1SDA050648R0001</t>
  </si>
  <si>
    <t>E3H/E MS 3200 750V DC 3p W MP</t>
  </si>
  <si>
    <t>1SDA050649R0001</t>
  </si>
  <si>
    <t>E4H/E MS 3200 750V DC 3p W MP</t>
  </si>
  <si>
    <t>1SDA050650R0001</t>
  </si>
  <si>
    <t>E4H/E MS 4000 750V DC 3p W MP</t>
  </si>
  <si>
    <t>1SDA050607R0001</t>
  </si>
  <si>
    <t>E1B/E MS 800 1000V DC 4P F HR</t>
  </si>
  <si>
    <t>1SDA050608R0001</t>
  </si>
  <si>
    <t>E1B/E MS 1250 1000V DC 4P F HR</t>
  </si>
  <si>
    <t>1SDA050609R0001</t>
  </si>
  <si>
    <t>E2N/E MS 1250 1000V DC 4P F HR</t>
  </si>
  <si>
    <t>1SDA050610R0001</t>
  </si>
  <si>
    <t>E2N/E MS 1600 1000V DC 4P F HR</t>
  </si>
  <si>
    <t>1SDA050611R0001</t>
  </si>
  <si>
    <t>E2N/E MS 2000 1000V DC 4P F HR</t>
  </si>
  <si>
    <t>1SDA050612R0001</t>
  </si>
  <si>
    <t>E3H/E MS 1250 1000V DC 4P F HR</t>
  </si>
  <si>
    <t>1SDA050613R0001</t>
  </si>
  <si>
    <t>E3H/E MS 1600 1000V DC 4P F HR</t>
  </si>
  <si>
    <t>1SDA050614R0001</t>
  </si>
  <si>
    <t>E3H/E MS 2000 1000V DC 4P F HR</t>
  </si>
  <si>
    <t>1SDA050615R0001</t>
  </si>
  <si>
    <t>E3H/E MS 2500 1000V DC 4P F HR</t>
  </si>
  <si>
    <t>E3H/E MS 3200 1000V DC 4P F HR</t>
  </si>
  <si>
    <t>1SDA050629R0001</t>
  </si>
  <si>
    <t>E1B/E MS 800 1000V DC 4P W MP</t>
  </si>
  <si>
    <t>1SDA050630R0001</t>
  </si>
  <si>
    <t>E1B/E MS 1250 1000V DC 4P W MP</t>
  </si>
  <si>
    <t>1SDA050631R0001</t>
  </si>
  <si>
    <t>E2N/E MS 1250 1000V DC 4P W MP</t>
  </si>
  <si>
    <t>1SDA050632R0001</t>
  </si>
  <si>
    <t>E2N/E MS 1600 1000V DC 4P W MP</t>
  </si>
  <si>
    <t>1SDA050633R0001</t>
  </si>
  <si>
    <t>E2N/E MS 2000 1000V DC 4P W MP</t>
  </si>
  <si>
    <t>1SDA050634R0001</t>
  </si>
  <si>
    <t>E3H/E MS 1250 1000V DC 4P W MP</t>
  </si>
  <si>
    <t>1SDA050635R0001</t>
  </si>
  <si>
    <t>E3H/E MS 1600 1000V DC 4P W MP</t>
  </si>
  <si>
    <t>1SDA050636R0001</t>
  </si>
  <si>
    <t>E3H/E MS 2000 1000V DC 4P W MP</t>
  </si>
  <si>
    <t>1SDA050637R0001</t>
  </si>
  <si>
    <t>E3H/E MS 2500 1000V DC 4P W MP</t>
  </si>
  <si>
    <t>1SDA050638R0001</t>
  </si>
  <si>
    <t>E3H/E MS 3200 1000V DC 4P W MP</t>
  </si>
  <si>
    <t>1SDA050660R0001</t>
  </si>
  <si>
    <t>E1 W FP 3p HR-HR 750V DC</t>
  </si>
  <si>
    <t>1SDA050661R0001</t>
  </si>
  <si>
    <t>E2 W FP 3p HR-HR 750V DC</t>
  </si>
  <si>
    <t>1SDA050662R0001</t>
  </si>
  <si>
    <t>E3 W FP 3p HR-HR 750V DC</t>
  </si>
  <si>
    <t>1SDA050663R0001</t>
  </si>
  <si>
    <t>E4 W FP 3p HR-HR 750V DC</t>
  </si>
  <si>
    <t>1SDA050664R0001</t>
  </si>
  <si>
    <t>E1 W FP 3p VR-VR 750V DC</t>
  </si>
  <si>
    <t>1SDA050665R0001</t>
  </si>
  <si>
    <t>E2 W FP 3p VR-VR 750V DC</t>
  </si>
  <si>
    <t>1SDA050666R0001</t>
  </si>
  <si>
    <t>E3 W FP 3p VR-VR 750V DC</t>
  </si>
  <si>
    <t>1SDA050667R0001</t>
  </si>
  <si>
    <t>E4 W FP 3p VR-VR 750V DC</t>
  </si>
  <si>
    <t>1SDA050668R0001</t>
  </si>
  <si>
    <t>E1 W FP 3p FL-FL 750V DC</t>
  </si>
  <si>
    <t>1SDA050669R0001</t>
  </si>
  <si>
    <t>E2 W FP 3p FL-FL 750V DC</t>
  </si>
  <si>
    <t>1SDA050670R0001</t>
  </si>
  <si>
    <t>E3 W FP 3p FL-FL 750V DC</t>
  </si>
  <si>
    <t>1SDA050671R0001</t>
  </si>
  <si>
    <t>E4 W FP 3p FL-FL 750V DC</t>
  </si>
  <si>
    <t>1SDA050651R0001</t>
  </si>
  <si>
    <t>E1 W FP 4p HR-HR 1000V DC</t>
  </si>
  <si>
    <t>1SDA050652R0001</t>
  </si>
  <si>
    <t>E2 W FP 4p HR-HR 1000V DC</t>
  </si>
  <si>
    <t>1SDA050653R0001</t>
  </si>
  <si>
    <t>E3 W FP 4p HR-HR 1000V DC</t>
  </si>
  <si>
    <t>1SDA050654R0001</t>
  </si>
  <si>
    <t>E1 W FP 4p VR-VR 1000V DC</t>
  </si>
  <si>
    <t>1SDA050655R0001</t>
  </si>
  <si>
    <t>E2 W FP 4p VR-VR 1000V DC</t>
  </si>
  <si>
    <t>1SDA050656R0001</t>
  </si>
  <si>
    <t>E3 W FP 4p VR-VR 1000V DC</t>
  </si>
  <si>
    <t>1SDA050657R0001</t>
  </si>
  <si>
    <t>E1 W FP 4p FL-FL 1000V DC</t>
  </si>
  <si>
    <t>1SDA050658R0001</t>
  </si>
  <si>
    <t>E2 W FP 4p FL-FL 1000V DC</t>
  </si>
  <si>
    <t>1SDA050659R0001</t>
  </si>
  <si>
    <t>E3 W FP 4p FL-FL 1000V DC</t>
  </si>
  <si>
    <t>Mechanická sig. vypnuto spouští</t>
  </si>
  <si>
    <t>15x pomocný kontakt pro digitální signály (externí)</t>
  </si>
  <si>
    <t>1SDA048067R0001</t>
  </si>
  <si>
    <t>Homopolar toroid 100 A</t>
  </si>
  <si>
    <t>1SDA048068R0001</t>
  </si>
  <si>
    <t>Homopolar toroid 250 A</t>
  </si>
  <si>
    <t>1SDA048069R0001</t>
  </si>
  <si>
    <t>Homopolar toroid 400 A</t>
  </si>
  <si>
    <t>1SDA048070R0001</t>
  </si>
  <si>
    <t>Homopolar toroid 800 A</t>
  </si>
  <si>
    <t>1SDA045031R0001</t>
  </si>
  <si>
    <t>KIT 1/2 3p W HR&gt;W F E2</t>
  </si>
  <si>
    <t>1SDA045032R0001</t>
  </si>
  <si>
    <t>KIT 1/2 3p W HR&gt;W F E3</t>
  </si>
  <si>
    <t>1SDA045033R0001</t>
  </si>
  <si>
    <t>KIT 1/2 3p W HR&gt;W F E4</t>
  </si>
  <si>
    <t>1SDA045034R0001</t>
  </si>
  <si>
    <t>KIT 1/2 3p W HR&gt;W F E6</t>
  </si>
  <si>
    <t>1SDA045035R0001</t>
  </si>
  <si>
    <t>KIT 1/2 4P W HR&gt;W F E2</t>
  </si>
  <si>
    <t>1SDA045036R0001</t>
  </si>
  <si>
    <t>KIT 1/2 4P W HR&gt;W F E3</t>
  </si>
  <si>
    <t>1SDA045037R0001</t>
  </si>
  <si>
    <t>KIT 1/2 4P W HR&gt;W F E4</t>
  </si>
  <si>
    <t>1SDA045038R0001</t>
  </si>
  <si>
    <t>KIT 1/2 4P W HR&gt;W F E6</t>
  </si>
  <si>
    <t>1SDA048718R0001</t>
  </si>
  <si>
    <t>KIT 1/2 4P W HR&gt;W F E4 N=100%</t>
  </si>
  <si>
    <t>1SDA048719R0001</t>
  </si>
  <si>
    <t>KIT 1/2 4p F HR&gt;F F E4 N=100%</t>
  </si>
  <si>
    <t>1SDA048720R0001</t>
  </si>
  <si>
    <t>KIT 1/2 4p F HR&gt;F VR E4 N=100%</t>
  </si>
  <si>
    <t>1SDA050734R0001</t>
  </si>
  <si>
    <t>KIT 1/2 4p F HR&gt;F F E6 N=100%</t>
  </si>
  <si>
    <t>1SDA050833R0001</t>
  </si>
  <si>
    <t>KIT 1/2 4p F HR&gt;F VR E6 N=100%</t>
  </si>
  <si>
    <t>1SDA050837R0001</t>
  </si>
  <si>
    <t>KIT 1/2 4P W HR&gt;W F E6 N=100%</t>
  </si>
  <si>
    <t>PR112/PDM-LSI MODBUS. E1/6  (příd. kód)</t>
  </si>
  <si>
    <t>PR112/PDM-LSIG MODBUS. E1/6  (příd. kód)</t>
  </si>
  <si>
    <t>PR112/PDL-LSI LON  E1/6  (příd. kód)</t>
  </si>
  <si>
    <t>PR112/PDL-LSIG LON  E1/6  (příd. kód)</t>
  </si>
  <si>
    <t>PR113/PDM-LSIG MODBUS. E1/6  (příd. kód)</t>
  </si>
  <si>
    <t>PR010/T Konfigurační a testovací jednotka</t>
  </si>
  <si>
    <t>1SDA053337R0001</t>
  </si>
  <si>
    <t>Signalizační jednotka PR020/K</t>
  </si>
  <si>
    <t>1SDA050228R0001</t>
  </si>
  <si>
    <t>SOR Test Unit</t>
  </si>
  <si>
    <t>1SDA052574R0001</t>
  </si>
  <si>
    <t>Proudové transformátory 3P R 250     E1/2  (příd. kód)</t>
  </si>
  <si>
    <t>1SDA052575R0001</t>
  </si>
  <si>
    <t>Proudové transformátory 3P R 400     E1/2  (příd. kód)</t>
  </si>
  <si>
    <t>1SDA052576R0001</t>
  </si>
  <si>
    <t>Proudové transformátory 3P R 800     E1/2  (příd. kód)</t>
  </si>
  <si>
    <t>1SDA052577R0001</t>
  </si>
  <si>
    <t>Proudové transformátory 3P R1000     E1/2  (příd. kód)</t>
  </si>
  <si>
    <t>1SDA052578R0001</t>
  </si>
  <si>
    <t>Proudové transformátory 3P R1250     E1/2  (příd. kód)</t>
  </si>
  <si>
    <t>1SDA052579R0001</t>
  </si>
  <si>
    <t>Proudové transformátory 4P  R 250     E1/2  (příd. kód)</t>
  </si>
  <si>
    <t>1SDA052580R0001</t>
  </si>
  <si>
    <t>Proudové transformátory 4P  R 400     E1/2  (příd. kód)</t>
  </si>
  <si>
    <t>1SDA052581R0001</t>
  </si>
  <si>
    <t>Proudové transformátory 4P  R 800     E1/2  (příd. kód)</t>
  </si>
  <si>
    <t>1SDA052582R0001</t>
  </si>
  <si>
    <t>Proudové transformátory 4P  R1000     E1/2  (příd. kód)</t>
  </si>
  <si>
    <t>1SDA052583R0001</t>
  </si>
  <si>
    <t>Proudové transformátory 4P  R1250     E1/2  (příd. kód)</t>
  </si>
  <si>
    <t>1SDA053811R0001</t>
  </si>
  <si>
    <t>Proudové transformátory 3P R1600     E2    (příd. kód)</t>
  </si>
  <si>
    <t>1SDA053812R0001</t>
  </si>
  <si>
    <t>Proudové transformátory 4P  R1600     E2  (příd. kód)</t>
  </si>
  <si>
    <t>1SDA053813R0001</t>
  </si>
  <si>
    <t>Proudové transformátory 3P R2500       E3  (příd. kód)</t>
  </si>
  <si>
    <t>1SDA053814R0001</t>
  </si>
  <si>
    <t>Proudové transformátory 4P  R2500       E3  (příd. kód)</t>
  </si>
  <si>
    <t>1SDA053815R0001</t>
  </si>
  <si>
    <t>Proudové transformátory 3P R5000       E6  (příd. kód)</t>
  </si>
  <si>
    <t>1SDA053816R0001</t>
  </si>
  <si>
    <t>Proudové transformátory 4P  R5000       E6  (příd. kód)</t>
  </si>
  <si>
    <t>1SDA052584R0001</t>
  </si>
  <si>
    <t>Proudové transformátory 3P R 250       E3  (příd. kód)</t>
  </si>
  <si>
    <t>1SDA052585R0001</t>
  </si>
  <si>
    <t>Proudové transformátory 3P R 400       E3  (příd. kód)</t>
  </si>
  <si>
    <t>1SDA052586R0001</t>
  </si>
  <si>
    <t>Proudové transformátory 3P R 800       E3  (příd. kód)</t>
  </si>
  <si>
    <t>1SDA052587R0001</t>
  </si>
  <si>
    <t>Proudové transformátory 3P R1000       E3  (příd. kód)</t>
  </si>
  <si>
    <t>1SDA052588R0001</t>
  </si>
  <si>
    <t>Proudové transformátory 3P R1250       E3  (příd. kód)</t>
  </si>
  <si>
    <t>1SDA052589R0001</t>
  </si>
  <si>
    <t>Proudové transformátory 3P R1600       E3  (příd. kód)</t>
  </si>
  <si>
    <t>1SDA052590R0001</t>
  </si>
  <si>
    <t>Proudové transformátory 3P R2000       E3  (příd. kód)</t>
  </si>
  <si>
    <t>1SDA052591R0001</t>
  </si>
  <si>
    <t>Proudové transformátory 4P  R 250       E3  (příd. kód)</t>
  </si>
  <si>
    <t>1SDA052592R0001</t>
  </si>
  <si>
    <t>Proudové transformátory 4P  R 400       E3  (příd. kód)</t>
  </si>
  <si>
    <t>1SDA052593R0001</t>
  </si>
  <si>
    <t>Proudové transformátory 4P  R 800       E3  (příd. kód)</t>
  </si>
  <si>
    <t>1SDA052594R0001</t>
  </si>
  <si>
    <t>Proudové transformátory 4P  R1000       E3  (příd. kód)</t>
  </si>
  <si>
    <t>1SDA052595R0001</t>
  </si>
  <si>
    <t>Proudové transformátory 4P  R1250       E3  (příd. kód)</t>
  </si>
  <si>
    <t>1SDA052596R0001</t>
  </si>
  <si>
    <t>Proudové transformátory 4P  R1600       E3  (příd. kód)</t>
  </si>
  <si>
    <t>1SDA052597R0001</t>
  </si>
  <si>
    <t>Proudové transformátory 4P  R2000       E3  (příd. kód)</t>
  </si>
  <si>
    <t>1SDA052598R0001</t>
  </si>
  <si>
    <t>Proudové transformátory 3P R2000        E4 (příd. kód)</t>
  </si>
  <si>
    <t>1SDA052599R0001</t>
  </si>
  <si>
    <t>Proudové transformátory 3P R3200       E4  (příd. kód)</t>
  </si>
  <si>
    <t>1SDA052600R0001</t>
  </si>
  <si>
    <t>Proudové transformátory 4P  R2000       E4  (příd. kód)</t>
  </si>
  <si>
    <t>1SDA052601R0001</t>
  </si>
  <si>
    <t>Proudové transformátory 4P  R3200       E4  (příd. kód)</t>
  </si>
  <si>
    <t>1SDA052602R0001</t>
  </si>
  <si>
    <t>Proudové transformátory 4P FULL SIZE R2000 E4/F (příd. kód)</t>
  </si>
  <si>
    <t>1SDA052603R0001</t>
  </si>
  <si>
    <t>Proudové transformátory 4P FULL SIZE R3200 E4/F (příd. kód)</t>
  </si>
  <si>
    <t>1SDA052604R0001</t>
  </si>
  <si>
    <t>Proudové transformátory 3P R3200       E6  (příd. kód)</t>
  </si>
  <si>
    <t>1SDA052605R0001</t>
  </si>
  <si>
    <t>Proudové transformátory 3P R4000       E6  (příd. kód)</t>
  </si>
  <si>
    <t>1SDA052606R0001</t>
  </si>
  <si>
    <t>Celkem Kč:</t>
  </si>
  <si>
    <t>Zaplombování spouště</t>
  </si>
  <si>
    <t>Pouze pro jistič!</t>
  </si>
  <si>
    <t>Y</t>
  </si>
  <si>
    <t>E3H 2500 PR113/P-LSIG-In=2500A 3P W MP</t>
  </si>
  <si>
    <t>1SDA052726R0001</t>
  </si>
  <si>
    <t>E3L 2500 PR113/P-LSIG-In=2500A 3P W MP</t>
  </si>
  <si>
    <t>1SDA052714R0001</t>
  </si>
  <si>
    <t>E3N 3200 PR113/P-LSIG-In=3200A 3P W MP</t>
  </si>
  <si>
    <t>1SDA052719R0001</t>
  </si>
  <si>
    <t>E3S 3200 PR113/P-LSIG-In=3200A 3P W MP</t>
  </si>
  <si>
    <t>1SDA052724R0001</t>
  </si>
  <si>
    <t>E3H 3200 PR113/P-LSIG-In=3200A 3P W MP</t>
  </si>
  <si>
    <t>1SDA052747R0001</t>
  </si>
  <si>
    <t>E3S 1250  PR113/P-LSIG-In=1250A 4P F HR</t>
  </si>
  <si>
    <t>1SDA052752R0001</t>
  </si>
  <si>
    <t>E3H 1250  PR113/P-LSIG-In=1250A 4P F HR</t>
  </si>
  <si>
    <t>1SDA052748R0001</t>
  </si>
  <si>
    <t>E3S 1600  PR113/P-LSIG-In=1600A 4P F HR</t>
  </si>
  <si>
    <t>1SDA052753R0001</t>
  </si>
  <si>
    <t>E3H 1600  PR113/P-LSIG-In=1600A 4P F HR</t>
  </si>
  <si>
    <t>1SDA052749R0001</t>
  </si>
  <si>
    <t>E3S 2000  PR113/P-LSIG-In=2000A 4P F HR</t>
  </si>
  <si>
    <t>1SDA052754R0001</t>
  </si>
  <si>
    <t>E3H 2000  PR113/P-LSIG-In=2000A 4P F HR</t>
  </si>
  <si>
    <t>1SDA052757R0001</t>
  </si>
  <si>
    <t>E3L 2000  PR113/P-LSIG-In=2000A 4P F HR</t>
  </si>
  <si>
    <t>1SDA052745R0001</t>
  </si>
  <si>
    <t>E3N 2500  PR113/P-LSIG-In=2500A 4P F HR</t>
  </si>
  <si>
    <t>1SDA052750R0001</t>
  </si>
  <si>
    <t>1SDA038037R0001</t>
  </si>
  <si>
    <t>1SDA038038R0001</t>
  </si>
  <si>
    <t>1SDA038039R0001</t>
  </si>
  <si>
    <t>1SDA038040R0001</t>
  </si>
  <si>
    <t>1SDA038041R0001</t>
  </si>
  <si>
    <t>1SDA038042R0001</t>
  </si>
  <si>
    <t>1SDA038043R0001</t>
  </si>
  <si>
    <t>1SDA038044R0001</t>
  </si>
  <si>
    <t>1SDA038045R0001</t>
  </si>
  <si>
    <t>1SDA038046R0001</t>
  </si>
  <si>
    <t>1SDA038047R0001</t>
  </si>
  <si>
    <t>1SDA038048R0001</t>
  </si>
  <si>
    <t>1SDA038049R0001</t>
  </si>
  <si>
    <t>1SDA038050R0001</t>
  </si>
  <si>
    <t>1SDA038051R0001</t>
  </si>
  <si>
    <t>1SDA038052R0001</t>
  </si>
  <si>
    <t>1SDA038053R0001</t>
  </si>
  <si>
    <t>1SDA038054R0001</t>
  </si>
  <si>
    <t>1SDA038055R0001</t>
  </si>
  <si>
    <t>1SDA038056R0001</t>
  </si>
  <si>
    <t>1SDA038057R0001</t>
  </si>
  <si>
    <t>1SDA038058R0001</t>
  </si>
  <si>
    <t>1SDA038059R0001</t>
  </si>
  <si>
    <t>E3H 1250 PR112/P-LSI-In=1250A 3p W MP</t>
  </si>
  <si>
    <t>E3S 1600 PR111/P-LI-In=1600A 3p W MP</t>
  </si>
  <si>
    <t>E3S 1600 PR111/P-LSIG-In=1600A 3p W MP</t>
  </si>
  <si>
    <t>E3S 1600 PR111/P-LSI-In=1600A 3p W MP</t>
  </si>
  <si>
    <t>E3S 1600 PR112/P-LSIG-In=1600A 3p W MP</t>
  </si>
  <si>
    <t>E3S 1600 PR112/P-LSI-In=1600A 3p W MP</t>
  </si>
  <si>
    <t>E3H 1600 PR111/P-LI-In=1600A 3p W MP</t>
  </si>
  <si>
    <t>E3H 1600 PR111/P-LSIG-In=1600A 3p W MP</t>
  </si>
  <si>
    <t>E3H 1600 PR111/P-LSI-In=1600A 3p W MP</t>
  </si>
  <si>
    <t>E3H 1600 PR112/P-LSIG-In=1600A 3p W MP</t>
  </si>
  <si>
    <t>E3H 1600 PR112/P-LSI-In=1600A 3p W MP</t>
  </si>
  <si>
    <t>E3S 2000 PR111/P-LI-In=2000A 3p W MP</t>
  </si>
  <si>
    <t>E3S 2000 PR111/P-LSIG-In=2000A 3p W MP</t>
  </si>
  <si>
    <t>E3S 2000 PR111/P-LSI-In=2000A 3p W MP</t>
  </si>
  <si>
    <t>E3S 2000 PR112/P-LSIG-In=2000A 3p W MP</t>
  </si>
  <si>
    <t>E3S 2000 PR112/P-LSI-In=2000A 3p W MP</t>
  </si>
  <si>
    <t>E3H 2000 PR111/P-LI-In=2000A 3p W MP</t>
  </si>
  <si>
    <t>E3H 2000 PR111/P-LSIG-In=2000A 3p W MP</t>
  </si>
  <si>
    <t>E3H 2000 PR111/P-LSI-In=2000A 3p W MP</t>
  </si>
  <si>
    <t>E3H 2000 PR112/P-LSIG-In=2000A 3p W MP</t>
  </si>
  <si>
    <t>E3H 2000 PR112/P-LSI-In=2000A 3p W MP</t>
  </si>
  <si>
    <t>E3L 2000 PR111/P-LI-In=2000A 3p W MP</t>
  </si>
  <si>
    <t>E3L 2000 PR111/P-LSIG-In=2000A 3p W MP</t>
  </si>
  <si>
    <t>E3L 2000 PR111/P-LSI-In=2000A 3p W MP</t>
  </si>
  <si>
    <t>E3L 2000 PR112/P-LSIG-In=2000A 3p W MP</t>
  </si>
  <si>
    <t>E3L 2000 PR112/P-LSI-In=2000A 3p W MP</t>
  </si>
  <si>
    <t>E3N 2500 PR111/P-LI-In=2500A 3p W MP</t>
  </si>
  <si>
    <t>E3N 2500 PR111/P-LSIG-In=2500A 3p W MP</t>
  </si>
  <si>
    <t>E3N 2500 PR111/P-LSI-In=2500A 3p W MP</t>
  </si>
  <si>
    <t>E3N 2500 PR112/P-LSIG-In=2500A 3p W MP</t>
  </si>
  <si>
    <t>E3N 2500 PR112/P-LSI-In=2500A 3p W MP</t>
  </si>
  <si>
    <t>E3S 2500 PR111/P-LI-In=2500A 3p W MP</t>
  </si>
  <si>
    <t>E3S 2500 PR111/P-LSIG-In=2500A 3p W MP</t>
  </si>
  <si>
    <t>E3S 2500 PR111/P-LSI-In=2500A 3p W MP</t>
  </si>
  <si>
    <t>E3S 2500 PR112/P-LSIG-In=2500A 3p W MP</t>
  </si>
  <si>
    <t>E3S 2500 PR112/P-LSI-In=2500A 3p W MP</t>
  </si>
  <si>
    <t>E3H 2500 PR111/P-LI-In=2500A 3p W MP</t>
  </si>
  <si>
    <t>E3H 2500 PR111/P-LSIG-In=2500A 3p W MP</t>
  </si>
  <si>
    <t>E3H 2500 PR111/P-LSI-In=2500A 3p W MP</t>
  </si>
  <si>
    <t>E3H 2500 PR112/P-LSIG-In=2500A 3p W MP</t>
  </si>
  <si>
    <t>E3H 2500 PR112/P-LSI-In=2500A 3p W MP</t>
  </si>
  <si>
    <t>E3L 2500 PR111/P-LI-In=2500A 3p W MP</t>
  </si>
  <si>
    <t>E3L 2500 PR111/P-LSIG-In=2500A 3p W MP</t>
  </si>
  <si>
    <t>E3L 2500 PR111/P-LSI-In=2500A 3p W MP</t>
  </si>
  <si>
    <t>E3L 2500 PR112/P-LSIG-In=2500A 3p W MP</t>
  </si>
  <si>
    <t>E3L 2500 PR112/P-LSI-In=2500A 3p W MP</t>
  </si>
  <si>
    <t>E3N 3200 PR111/P-LI-In=3200A 3p W MP</t>
  </si>
  <si>
    <t>E3N 3200 PR111/P-LSIG-In=3200A 3p W MP</t>
  </si>
  <si>
    <t>E3N 3200 PR111/P-LSI-In=3200A 3p W MP</t>
  </si>
  <si>
    <t>E3N 3200 PR112/P-LSIG-In=3200A 3p W MP</t>
  </si>
  <si>
    <t>E3N 3200 PR112/P-LSI-In=3200A 3p W MP</t>
  </si>
  <si>
    <t>E3S 3200 PR111/P-LI-In=3200A 3p W MP</t>
  </si>
  <si>
    <t>E3S 3200 PR111/P-LSIG-In=3200A 3p W MP</t>
  </si>
  <si>
    <t>E3S 3200 PR111/P-LSI-In=3200A 3p W MP</t>
  </si>
  <si>
    <t>E3S 3200 PR112/P-LSIG-In=3200A 3p W MP</t>
  </si>
  <si>
    <t>E3S 3200 PR112/P-LSI-In=3200A 3p W MP</t>
  </si>
  <si>
    <t>E3H 3200 PR111/P-LI-In=3200A 3p W MP</t>
  </si>
  <si>
    <t>E3H 3200 PR111/P-LSIG-In=3200A 3p W MP</t>
  </si>
  <si>
    <t>E3H 3200 PR111/P-LSI-In=3200A 3p W MP</t>
  </si>
  <si>
    <t>E3H 3200 PR112/P-LSIG-In=3200A 3p W MP</t>
  </si>
  <si>
    <t>E3H 3200 PR112/P-LSI-In=3200A 3p W MP</t>
  </si>
  <si>
    <t>E3S 1250 PR111/P-LI-In=1250A 4p F F</t>
  </si>
  <si>
    <t>jistič:</t>
  </si>
  <si>
    <t>vypínač:</t>
  </si>
  <si>
    <t>jistič/vypínač</t>
  </si>
  <si>
    <t>Blokování dveří rozvaděče</t>
  </si>
  <si>
    <t>Kryt IP54 do dveří</t>
  </si>
  <si>
    <t>Ovl.nap. cívek</t>
  </si>
  <si>
    <t>YO</t>
  </si>
  <si>
    <t>YC</t>
  </si>
  <si>
    <t>YU</t>
  </si>
  <si>
    <t>kont</t>
  </si>
  <si>
    <t>M</t>
  </si>
  <si>
    <t>NO</t>
  </si>
  <si>
    <t>24…30</t>
  </si>
  <si>
    <t>5 kontaktů</t>
  </si>
  <si>
    <t>NC</t>
  </si>
  <si>
    <t>48…60</t>
  </si>
  <si>
    <t>10 kontaktů</t>
  </si>
  <si>
    <t>110…130</t>
  </si>
  <si>
    <t>Poz. Kontakt</t>
  </si>
  <si>
    <t>220…250</t>
  </si>
  <si>
    <t>10x kontakt signalizace zas./vys./test. polohy</t>
  </si>
  <si>
    <t>E6H 6300 PR112/P-LSIG-In=6300A 4p F VR</t>
  </si>
  <si>
    <t>E6H 6300 PR112/P-LSI-In=6300A 4p F F</t>
  </si>
  <si>
    <t>E6H 6300 PR112/P-LSI-In=6300A 4p F HR</t>
  </si>
  <si>
    <t>E6H 6300 PR112/P-LSI-In=6300A 4p F VR</t>
  </si>
  <si>
    <t>E6V 6300 PR111/P-LI-In=6300A 4p F F</t>
  </si>
  <si>
    <t>E6V 6300 PR111/P-LI-In=6300A 4p F HR</t>
  </si>
  <si>
    <t>E6V 6300 PR111/P-LI-In=6300A 4p F VR</t>
  </si>
  <si>
    <t>E6V 6300 PR111/P-LSIG-In=6300A 4p F F</t>
  </si>
  <si>
    <t>E6V 6300 PR111/P-LSIG-In=6300A 4p F HR</t>
  </si>
  <si>
    <t>E6V 6300 PR111/P-LSIG-In=6300A 4p F VR</t>
  </si>
  <si>
    <t>E6V 6300 PR111/P-LSI-In=6300A 4p F F</t>
  </si>
  <si>
    <t>E6V 6300 PR111/P-LSI-In=6300A 4p F HR</t>
  </si>
  <si>
    <t>E6V 6300 PR111/P-LSI-In=6300A 4p F VR</t>
  </si>
  <si>
    <t>E6V 6300 PR112/P-LSIG-In=6300A 4p F F</t>
  </si>
  <si>
    <t>E6V 6300 PR112/P-LSIG-In=6300A 4p F HR</t>
  </si>
  <si>
    <t>E2N 1250 PR112/P-LSI-In=1250A 3p W MP</t>
  </si>
  <si>
    <t>E2L 1250 PR111/P-LI-In=1250A 3p W MP</t>
  </si>
  <si>
    <t>E2L 1250 PR111/P-LSIG-In=1250A 3p W MP</t>
  </si>
  <si>
    <t>E2L 1250 PR111/P-LSI-In=1250A 3p W MP</t>
  </si>
  <si>
    <t>E2L 1250 PR112/P-LSIG-In=1250A 3p W MP</t>
  </si>
  <si>
    <t>E2L 1250 PR112/P-LSI-In=1250A 3p W MP</t>
  </si>
  <si>
    <t>E2B 1600 PR111/P-LI-In=1600A 3p W MP</t>
  </si>
  <si>
    <t>E2B 1600 PR111/P-LSIG-In=1600A 3p W MP</t>
  </si>
  <si>
    <t>E2B 1600 PR111/P-LSI-In=1600A 3p W MP</t>
  </si>
  <si>
    <t>E2B 1600 PR112/P-LSIG-In=1600A 3p W MP</t>
  </si>
  <si>
    <t>E2B 1600 PR112/P-LSI-In=1600A 3p W MP</t>
  </si>
  <si>
    <t>440 V stř</t>
  </si>
  <si>
    <t>Zamykání</t>
  </si>
  <si>
    <t>blok/W</t>
  </si>
  <si>
    <t xml:space="preserve"> různé klíče</t>
  </si>
  <si>
    <t xml:space="preserve"> klíč 3004222</t>
  </si>
  <si>
    <t xml:space="preserve"> klíč 0025431</t>
  </si>
  <si>
    <t xml:space="preserve"> klíč 0233424</t>
  </si>
  <si>
    <t xml:space="preserve"> klíč 0335452</t>
  </si>
  <si>
    <t>Popis</t>
  </si>
  <si>
    <t>Vypínací cívka 24 V</t>
  </si>
  <si>
    <t>Vypínací cívka 30 V</t>
  </si>
  <si>
    <t>30 V ss/stř</t>
  </si>
  <si>
    <t>Vypínací cívka 48 V</t>
  </si>
  <si>
    <t>48 V ss/stř</t>
  </si>
  <si>
    <t>Vypínací cívka 60 V</t>
  </si>
  <si>
    <t>60 V ss/stř</t>
  </si>
  <si>
    <t>Vypínací cívka 110…115 V</t>
  </si>
  <si>
    <t>Vypínací cívka 120…127 V</t>
  </si>
  <si>
    <t>120…127 V ss/stř</t>
  </si>
  <si>
    <t>Vypínací cívka 220…230 V</t>
  </si>
  <si>
    <t>220…230 V ss/stř</t>
  </si>
  <si>
    <t>Vypínací cívka 240…250 V</t>
  </si>
  <si>
    <t>240…250 V ss/stř</t>
  </si>
  <si>
    <t>Vypínací cívka 380…400 V</t>
  </si>
  <si>
    <t>Vypínací cívka 440 V</t>
  </si>
  <si>
    <t>Zapínací cívka 24 V</t>
  </si>
  <si>
    <t>Zapínací cívka 30 V</t>
  </si>
  <si>
    <t>Zapínací cívka 48 V</t>
  </si>
  <si>
    <t>Zapínací cívka 60 V</t>
  </si>
  <si>
    <t>Zapínací cívka 110…115 V</t>
  </si>
  <si>
    <t>Zapínací cívka 120…127 V</t>
  </si>
  <si>
    <t>Zapínací cívka 220…230 V</t>
  </si>
  <si>
    <t>Zapínací cívka 240…250 V</t>
  </si>
  <si>
    <t>Zapínací cívka 380…400 V</t>
  </si>
  <si>
    <t>Zapínací cívka 440 V</t>
  </si>
  <si>
    <t>Podpěťová cívka 24 V</t>
  </si>
  <si>
    <t>Podpěťová cívka 30 V</t>
  </si>
  <si>
    <t>Podpěťová cívka 48 V</t>
  </si>
  <si>
    <t>Podpěťová cívka 60 V</t>
  </si>
  <si>
    <t>Podpěťová cívka 110…115 V</t>
  </si>
  <si>
    <t>Podpěťová cívka 120…127 V</t>
  </si>
  <si>
    <t>Podpěťová cívka 220…230 V</t>
  </si>
  <si>
    <t>Podpěťová cívka 240…250 V</t>
  </si>
  <si>
    <t>Podpěťová cívka 380…400 V</t>
  </si>
  <si>
    <t>Podpěťová cívka 440 V</t>
  </si>
  <si>
    <t>Zpožďovací člen 24…30 V</t>
  </si>
  <si>
    <t>24…30 V ss/stř</t>
  </si>
  <si>
    <t>Zpožďovací člen 48 V</t>
  </si>
  <si>
    <t>Zpožďovací člen 60 V</t>
  </si>
  <si>
    <t>Zpožďovací člen 110…125 V</t>
  </si>
  <si>
    <t>110…125 V ss/stř</t>
  </si>
  <si>
    <t>110…125</t>
  </si>
  <si>
    <t>Zpožďovací člen 220…250 V</t>
  </si>
  <si>
    <t>220…250 V ss/stř</t>
  </si>
  <si>
    <t>Motorový pohon 24…30 V</t>
  </si>
  <si>
    <t>Motorový pohon 48…60 V</t>
  </si>
  <si>
    <t>48…60 V ss/stř</t>
  </si>
  <si>
    <t>Motorový pohon 110…130 V</t>
  </si>
  <si>
    <t>110…130 V ss/stř</t>
  </si>
  <si>
    <t>Motorový pohon 220…250 V</t>
  </si>
  <si>
    <t>Mechanická sig. vypnutí spouští</t>
  </si>
  <si>
    <t/>
  </si>
  <si>
    <t>Elektrická sig. vypnutí spouští</t>
  </si>
  <si>
    <t>10x pomocný kontakt (přídavný)</t>
  </si>
  <si>
    <t>nelze s PR112</t>
  </si>
  <si>
    <t>15x pomocný kontakt (externí) F</t>
  </si>
  <si>
    <t>montáž vně jističe</t>
  </si>
  <si>
    <t>15x pomocný kontakt (externí) W</t>
  </si>
  <si>
    <t>5x kontakt signalizace zas./vys./test. polohy</t>
  </si>
  <si>
    <t>E1/6 3p./4p.</t>
  </si>
  <si>
    <t>E1/2 3p.</t>
  </si>
  <si>
    <t>E1/2 4p.</t>
  </si>
  <si>
    <t>E3 3p.</t>
  </si>
  <si>
    <t>E3 4p.</t>
  </si>
  <si>
    <t>E4/6 3p./4p.</t>
  </si>
  <si>
    <t>Signalizace napájení podp. cívky NO</t>
  </si>
  <si>
    <t>Signalizace napájení podp. cívky NC</t>
  </si>
  <si>
    <t>Zámek vypnuté polohy, různé klíče  E1/6</t>
  </si>
  <si>
    <t>Zámek vypnuté polohy, klíč č.  3004222  E1/6</t>
  </si>
  <si>
    <t>Zámek vypnuté polohy, klíč č.  0025431  E1/6</t>
  </si>
  <si>
    <t>Zámek vypnuté polohy, klíč č.  0233424  E1/6</t>
  </si>
  <si>
    <t>Zámek vypnuté polohy, klíč č.  0335452  E1/6</t>
  </si>
  <si>
    <t>Zámek vypnuté polohy, visací zámek  E1/6</t>
  </si>
  <si>
    <t>přes ovl. tlačítka</t>
  </si>
  <si>
    <t>Zámek zas./vys./test. polohy, různé klíče E1/6</t>
  </si>
  <si>
    <t>Zámek zas./vys./test. polohy, klíč č. 3004222 E1/6</t>
  </si>
  <si>
    <t>Zámek zas./vys./test. polohy, klíč č. 0025431 E1/6</t>
  </si>
  <si>
    <t>Zámek zas./vys./test. polohy, klíč č. 0233424 E1/6</t>
  </si>
  <si>
    <t>Zámek zas./vys./test. polohy, klíč č. 0335452 E1/6</t>
  </si>
  <si>
    <t>Blokování testovací a vysunuté polohy</t>
  </si>
  <si>
    <t>Čelní kryt IP54 do dveří</t>
  </si>
  <si>
    <t>E3N 2500 PR112/P-LSI-In=2500A 3p F VR</t>
  </si>
  <si>
    <t>E3S 2500 PR111/P-LI-In=2500A 3p F F</t>
  </si>
  <si>
    <t>E3S 2500 PR111/P-LI-In=2500A 3p F HR</t>
  </si>
  <si>
    <t>E3S 2500 PR111/P-LI-In=2500A 3p F VR</t>
  </si>
  <si>
    <t>E3S 2500 PR111/P-LSIG-In=2500A 3p F F</t>
  </si>
  <si>
    <t>E3H 1600 PR112/P-LSI-In=1600A 3p F HR</t>
  </si>
  <si>
    <t>E3H 1600 PR112/P-LSI-In=1600A 3p F VR</t>
  </si>
  <si>
    <t>1SDA040079R0001</t>
  </si>
  <si>
    <t>1SDA040101R0001</t>
  </si>
  <si>
    <t>1SDA040129R0001</t>
  </si>
  <si>
    <t>1SDA040085R0001</t>
  </si>
  <si>
    <t>1SDA040107R0001</t>
  </si>
  <si>
    <t>1SDA040126R0001</t>
  </si>
  <si>
    <t>1SDA040082R0001</t>
  </si>
  <si>
    <t>1SDA040105R0001</t>
  </si>
  <si>
    <t>1SDA040135R0001</t>
  </si>
  <si>
    <t>1SDA040091R0001</t>
  </si>
  <si>
    <t>1SDA040113R0001</t>
  </si>
  <si>
    <t>1SDA040132R0001</t>
  </si>
  <si>
    <t>1SDA040088R0001</t>
  </si>
  <si>
    <t>1SDA040110R0001</t>
  </si>
  <si>
    <t>1SDA039759R0001</t>
  </si>
  <si>
    <t>1SDA039767R0001</t>
  </si>
  <si>
    <t>1SDA039763R0001</t>
  </si>
  <si>
    <t>1SDA039775R0001</t>
  </si>
  <si>
    <t>1SDA039771R0001</t>
  </si>
  <si>
    <t>1SDA040292R0001</t>
  </si>
  <si>
    <t>1SDA040300R0001</t>
  </si>
  <si>
    <t>1SDA040296R0001</t>
  </si>
  <si>
    <t>1SDA040308R0001</t>
  </si>
  <si>
    <t>1SDA040304R0001</t>
  </si>
  <si>
    <t>1SDA039386R0001</t>
  </si>
  <si>
    <t>1SDA039392R0001</t>
  </si>
  <si>
    <t>1SDA039389R0001</t>
  </si>
  <si>
    <t>1SDA039398R0001</t>
  </si>
  <si>
    <t>1SDA039395R0001</t>
  </si>
  <si>
    <t>1SDA039969R0001</t>
  </si>
  <si>
    <t>1SDA039975R0001</t>
  </si>
  <si>
    <t>1SDA039972R0001</t>
  </si>
  <si>
    <t>1SDA039981R0001</t>
  </si>
  <si>
    <t>1SDA039978R0001</t>
  </si>
  <si>
    <t>1SDA040518R0001</t>
  </si>
  <si>
    <t>1SDA040524R0001</t>
  </si>
  <si>
    <t>1SDA040521R0001</t>
  </si>
  <si>
    <t>1SDA040530R0001</t>
  </si>
  <si>
    <t>1SDA040527R0001</t>
  </si>
  <si>
    <t>1SDA039562R0001</t>
  </si>
  <si>
    <t>1SDA039568R0001</t>
  </si>
  <si>
    <t>1SDA039565R0001</t>
  </si>
  <si>
    <t>1SDA039574R0001</t>
  </si>
  <si>
    <t>1SDA039571R0001</t>
  </si>
  <si>
    <t>1SDA040145R0001</t>
  </si>
  <si>
    <t>1SDA040151R0001</t>
  </si>
  <si>
    <t>1SDA040148R0001</t>
  </si>
  <si>
    <t>1SDA040157R0001</t>
  </si>
  <si>
    <t>1SDA040154R0001</t>
  </si>
  <si>
    <t>1SDA039846R0001</t>
  </si>
  <si>
    <t>1SDA039788R0001</t>
  </si>
  <si>
    <t>1SDA039817R0001</t>
  </si>
  <si>
    <t>E6V 4000 PR111/P-LSIG-In=4000A 4p W MP</t>
  </si>
  <si>
    <t>E6V 4000 PR111/P-LSI-In=4000A 4p W MP</t>
  </si>
  <si>
    <t>E6V 4000 PR112/P-LSIG-In=4000A 4p W MP</t>
  </si>
  <si>
    <t>E6H 5000 PR111/P-LSI-In=5000A 4p W MP</t>
  </si>
  <si>
    <t>E6H 5000 PR112/P-LSIG-In=5000A 4p W MP</t>
  </si>
  <si>
    <t>E6H 5000 PR112/P-LSI-In=5000A 4p W MP</t>
  </si>
  <si>
    <t>E6V 5000 PR111/P-LI-In=5000A 4p W MP</t>
  </si>
  <si>
    <t>E6V 5000 PR111/P-LSIG-In=5000A 4p W MP</t>
  </si>
  <si>
    <t>Základ</t>
  </si>
  <si>
    <t>PČ</t>
  </si>
  <si>
    <t>Volně</t>
  </si>
  <si>
    <t>E3H 1250 PR112/P-LSI-In=1250A 3p F VR</t>
  </si>
  <si>
    <t>E3S 1600 PR111/P-LI-In=1600A 3p F F</t>
  </si>
  <si>
    <t>E3S 1600 PR111/P-LI-In=1600A 3p F HR</t>
  </si>
  <si>
    <t>1SDA039800R0001</t>
  </si>
  <si>
    <t>1SDA039829R0001</t>
  </si>
  <si>
    <t>1SDA040395R0001</t>
  </si>
  <si>
    <t>1SDA040337R0001</t>
  </si>
  <si>
    <t>1SDA040366R0001</t>
  </si>
  <si>
    <t>1SDA040403R0001</t>
  </si>
  <si>
    <t>1SDA040345R0001</t>
  </si>
  <si>
    <t>1SDA040374R0001</t>
  </si>
  <si>
    <t>1SDA040399R0001</t>
  </si>
  <si>
    <t>1SDA040341R0001</t>
  </si>
  <si>
    <t>1SDA040370R0001</t>
  </si>
  <si>
    <t>1SDA040411R0001</t>
  </si>
  <si>
    <t>1SDA040353R0001</t>
  </si>
  <si>
    <t>1SDA040382R0001</t>
  </si>
  <si>
    <t>1SDA040407R0001</t>
  </si>
  <si>
    <t>1SDA040349R0001</t>
  </si>
  <si>
    <t>1SDA040378R0001</t>
  </si>
  <si>
    <t>1SDA039452R0001</t>
  </si>
  <si>
    <t>1SDA039408R0001</t>
  </si>
  <si>
    <t>1SDA039430R0001</t>
  </si>
  <si>
    <t>1SDA039458R0001</t>
  </si>
  <si>
    <t>1SDA039414R0001</t>
  </si>
  <si>
    <t>1SDA039436R0001</t>
  </si>
  <si>
    <t>1SDA039455R0001</t>
  </si>
  <si>
    <t>1SDA039411R0001</t>
  </si>
  <si>
    <t>1SDA039433R0001</t>
  </si>
  <si>
    <t>1SDA039464R0001</t>
  </si>
  <si>
    <t>1SDA039420R0001</t>
  </si>
  <si>
    <t>Pouze s PR112 nebo PR113!</t>
  </si>
  <si>
    <t>Pom. kont. 5/5 - Ne s PR112 a PR113!</t>
  </si>
  <si>
    <t>Pr111</t>
  </si>
  <si>
    <t>PR112D-M</t>
  </si>
  <si>
    <t>PR112D-L</t>
  </si>
  <si>
    <t>PR113D-M</t>
  </si>
  <si>
    <t>Signalizační jednotka</t>
  </si>
  <si>
    <t>Spoušť:</t>
  </si>
  <si>
    <t>spoušť':</t>
  </si>
  <si>
    <t>Políčko:</t>
  </si>
  <si>
    <t>1SDA050767R0001</t>
  </si>
  <si>
    <t>E6H 5000/F PR111/P-LI-In=5000A 4P F HR</t>
  </si>
  <si>
    <t>1SDA050768R0001</t>
  </si>
  <si>
    <t>E6H 5000/F PR111/P-LSI-In=5000A 4P F HR</t>
  </si>
  <si>
    <t>1SDA050769R0001</t>
  </si>
  <si>
    <t>E6H 5000/F PR111/P-LSIG-In=5000A 4P F HR</t>
  </si>
  <si>
    <t>1SDA050770R0001</t>
  </si>
  <si>
    <t>E6H 5000/F PR112/P-LSI-In=5000A 4P F HR</t>
  </si>
  <si>
    <t>1SDA040549R0001</t>
  </si>
  <si>
    <t>1SDA040571R0001</t>
  </si>
  <si>
    <t>1SDA039628R0001</t>
  </si>
  <si>
    <t>1SDA039584R0001</t>
  </si>
  <si>
    <t>1SDA039606R0001</t>
  </si>
  <si>
    <t>1SDA039634R0001</t>
  </si>
  <si>
    <t>1SDA039590R0001</t>
  </si>
  <si>
    <t>1SDA039612R0001</t>
  </si>
  <si>
    <t>1SDA039631R0001</t>
  </si>
  <si>
    <t>1SDA039587R0001</t>
  </si>
  <si>
    <t>1SDA039609R0001</t>
  </si>
  <si>
    <t>1SDA039640R0001</t>
  </si>
  <si>
    <t>1SDA039596R0001</t>
  </si>
  <si>
    <t>1SDA039618R0001</t>
  </si>
  <si>
    <t>1SDA039637R0001</t>
  </si>
  <si>
    <t>1SDA039593R0001</t>
  </si>
  <si>
    <t>1SDA039615R0001</t>
  </si>
  <si>
    <t>1SDA040189R0001</t>
  </si>
  <si>
    <t>1SDA040167R0001</t>
  </si>
  <si>
    <t>1SDA043352R0001</t>
  </si>
  <si>
    <t>1SDA040195R0001</t>
  </si>
  <si>
    <t>1SDA040173R0001</t>
  </si>
  <si>
    <t>1SDA043358R0001</t>
  </si>
  <si>
    <t>1SDA040192R0001</t>
  </si>
  <si>
    <t>1SDA040170R0001</t>
  </si>
  <si>
    <t>1SDA043355R0001</t>
  </si>
  <si>
    <t>1SDA040201R0001</t>
  </si>
  <si>
    <t>1SDA040179R0001</t>
  </si>
  <si>
    <t>1SDA043364R0001</t>
  </si>
  <si>
    <t>1SDA040198R0001</t>
  </si>
  <si>
    <t>1SDA040176R0001</t>
  </si>
  <si>
    <t>E6V 4000 PR112/P-LSIG-In=4000A 4p F F</t>
  </si>
  <si>
    <t>E6V 4000 PR112/P-LSIG-In=4000A 4p F HR</t>
  </si>
  <si>
    <t>E6V 4000 PR112/P-LSIG-In=4000A 4p F VR</t>
  </si>
  <si>
    <t>E6V 4000 PR112/P-LSI-In=4000A 4p F F</t>
  </si>
  <si>
    <t>E6V 4000 PR112/P-LSI-In=4000A 4p F HR</t>
  </si>
  <si>
    <t>E2N 1600 PR112/P-LSIG-In=1600A 3p F HR</t>
  </si>
  <si>
    <t>E2N 1600 PR112/P-LSIG-In=1600A 3p F VR</t>
  </si>
  <si>
    <t>E2N 1600 PR112/P-LSI-In=1600A 3p F F</t>
  </si>
  <si>
    <t>E2N 1600 PR112/P-LSI-In=1600A 3p F HR</t>
  </si>
  <si>
    <t>E2N 1600 PR112/P-LSI-In=1600A 3p F VR</t>
  </si>
  <si>
    <t>E2L 1600 PR111/P-LI-In=1600A 3p F F</t>
  </si>
  <si>
    <t>E2L 1600 PR111/P-LI-In=1600A 3p F HR</t>
  </si>
  <si>
    <t>E2L 1600 PR111/P-LI-In=1600A 3p F VR</t>
  </si>
  <si>
    <t>E2L 1600 PR111/P-LSIG-In=1600A 3p F F</t>
  </si>
  <si>
    <t>E2L 1600 PR111/P-LSIG-In=1600A 3p F HR</t>
  </si>
  <si>
    <t>E2L 1600 PR111/P-LSIG-In=1600A 3p F VR</t>
  </si>
  <si>
    <t>E2L 1600 PR111/P-LSI-In=1600A 3p F F</t>
  </si>
  <si>
    <t>E2L 1600 PR111/P-LSI-In=1600A 3p F HR</t>
  </si>
  <si>
    <t>E2L 1600 PR111/P-LSI-In=1600A 3p F VR</t>
  </si>
  <si>
    <t>E2L 1600 PR112/P-LSIG-In=1600A 3p F F</t>
  </si>
  <si>
    <t>E2L 1600 PR112/P-LSIG-In=1600A 3p F HR</t>
  </si>
  <si>
    <t>E2L 1600 PR112/P-LSIG-In=1600A 3p F VR</t>
  </si>
  <si>
    <t>E2N 2000 PR111/P-LI-In=2000A 4p F VR</t>
  </si>
  <si>
    <t>E2N 2000 PR111/P-LSIG-In=2000A 4p F F</t>
  </si>
  <si>
    <t>E2N 2000 PR111/P-LSIG-In=2000A 4p F HR</t>
  </si>
  <si>
    <t>E2N 2000 PR111/P-LSIG-In=2000A 4p F VR</t>
  </si>
  <si>
    <t>E2N 2000 PR111/P-LSI-In=2000A 4p F F</t>
  </si>
  <si>
    <t>E6V 4000 PR112/P-LSI-In=4000A 4p F VR</t>
  </si>
  <si>
    <t>E6H 5000 PR111/P-LI-In=5000A 4p F F</t>
  </si>
  <si>
    <t>E6H 5000 PR111/P-LI-In=5000A 4p F HR</t>
  </si>
  <si>
    <t>E6H 5000 PR111/P-LI-In=5000A 4p F VR</t>
  </si>
  <si>
    <t>E6H 5000 PR111/P-LSIG-In=5000A 4p F F</t>
  </si>
  <si>
    <t>E6H 5000 PR111/P-LSIG-In=5000A 4p F HR</t>
  </si>
  <si>
    <t>E6H 5000 PR111/P-LSIG-In=5000A 4p F VR</t>
  </si>
  <si>
    <t>E6H 5000 PR111/P-LSI-In=5000A 4p F F</t>
  </si>
  <si>
    <t>E6H 5000 PR111/P-LSI-In=5000A 4p F HR</t>
  </si>
  <si>
    <t>E6H 5000 PR111/P-LSI-In=5000A 4p F VR</t>
  </si>
  <si>
    <t>E6H 5000 PR112/P-LSIG-In=5000A 4p F F</t>
  </si>
  <si>
    <t>E6H 5000 PR112/P-LSIG-In=5000A 4p F HR</t>
  </si>
  <si>
    <t>E6H 5000 PR112/P-LSIG-In=5000A 4p F VR</t>
  </si>
  <si>
    <t>E6H 5000 PR112/P-LSI-In=5000A 4p F F</t>
  </si>
  <si>
    <t>E6H 5000 PR112/P-LSI-In=5000A 4p F HR</t>
  </si>
  <si>
    <t>E6H 5000 PR112/P-LSI-In=5000A 4p F VR</t>
  </si>
  <si>
    <t>E6V 5000 PR111/P-LI-In=5000A 4p F F</t>
  </si>
  <si>
    <t>E6V 5000 PR111/P-LI-In=5000A 4p F HR</t>
  </si>
  <si>
    <t>E6V 5000 PR111/P-LI-In=5000A 4p F VR</t>
  </si>
  <si>
    <t>E6V 5000 PR111/P-LSIG-In=5000A 4p F F</t>
  </si>
  <si>
    <t>E6V 5000 PR111/P-LSIG-In=5000A 4p F HR</t>
  </si>
  <si>
    <t>E6V 5000 PR111/P-LSIG-In=5000A 4p F VR</t>
  </si>
  <si>
    <t>E6V 5000 PR111/P-LSI-In=5000A 4p F F</t>
  </si>
  <si>
    <t>E6V 5000 PR111/P-LSI-In=5000A 4p F HR</t>
  </si>
  <si>
    <t>E6V 5000 PR111/P-LSI-In=5000A 4p F VR</t>
  </si>
  <si>
    <t>E6V 5000 PR112/P-LSIG-In=5000A 4p F F</t>
  </si>
  <si>
    <t>E6V 5000 PR112/P-LSIG-In=5000A 4p F HR</t>
  </si>
  <si>
    <t>PŘÍSLUŠENSTVÍ</t>
  </si>
  <si>
    <t>E2L 1600 PR112/P-LSI-In=1600A 4p W MP</t>
  </si>
  <si>
    <t>1SDA038060R0001</t>
  </si>
  <si>
    <t>1SDA038061R0001</t>
  </si>
  <si>
    <t>1SDA038062R0001</t>
  </si>
  <si>
    <t>1SDA038063R0001</t>
  </si>
  <si>
    <t>1SDA038064R0001</t>
  </si>
  <si>
    <t>1SDA038065R0001</t>
  </si>
  <si>
    <t>1SDA038066R0001</t>
  </si>
  <si>
    <t>1SDA038067R0001</t>
  </si>
  <si>
    <t>1SDA038068R0001</t>
  </si>
  <si>
    <t>1SDA038069R0001</t>
  </si>
  <si>
    <t>1SDA038070R0001</t>
  </si>
  <si>
    <t>1SDA038071R0001</t>
  </si>
  <si>
    <t>1SDA038086R0001</t>
  </si>
  <si>
    <t>1SDA038269R0001</t>
  </si>
  <si>
    <t>1SDA038270R0001</t>
  </si>
  <si>
    <t>1SDA038271R0001</t>
  </si>
  <si>
    <t>1SDA038272R0001</t>
  </si>
  <si>
    <t>1SDA038273R0001</t>
  </si>
  <si>
    <t>1SDA038274R0001</t>
  </si>
  <si>
    <t>1SDA038275R0001</t>
  </si>
  <si>
    <t>1SDA038276R0001</t>
  </si>
  <si>
    <t>1SDA038277R0001</t>
  </si>
  <si>
    <t>1SDA038278R0001</t>
  </si>
  <si>
    <t>1SDA038279R0001</t>
  </si>
  <si>
    <t>1SDA038280R0001</t>
  </si>
  <si>
    <t>1SDA038281R0001</t>
  </si>
  <si>
    <t>1SDA038282R0001</t>
  </si>
  <si>
    <t>1SDA038283R0001</t>
  </si>
  <si>
    <t>1SDA038284R0001</t>
  </si>
  <si>
    <t>1SDA038285R0001</t>
  </si>
  <si>
    <t>1SDA038325R0001</t>
  </si>
  <si>
    <t>1SDA038326R0001</t>
  </si>
  <si>
    <t>1SDA038327R0001</t>
  </si>
  <si>
    <t>1SDA038328R0001</t>
  </si>
  <si>
    <t>1SDA038329R0001</t>
  </si>
  <si>
    <t>1SDA038330R0001</t>
  </si>
  <si>
    <t>1SDA038331R0001</t>
  </si>
  <si>
    <t>1SDA038332R0001</t>
  </si>
  <si>
    <t>1SDA038333R0001</t>
  </si>
  <si>
    <t>1SDA038334R0001</t>
  </si>
  <si>
    <t>1SDA038335R0001</t>
  </si>
  <si>
    <t>1SDA038336R0001</t>
  </si>
  <si>
    <t>1SDA038358R0001</t>
  </si>
  <si>
    <t>1SDA038362R0001</t>
  </si>
  <si>
    <t>1SDA038364R0001</t>
  </si>
  <si>
    <t>1SDA038365R0001</t>
  </si>
  <si>
    <t>1SDA038366R0001</t>
  </si>
  <si>
    <t>1SDA038367R0001</t>
  </si>
  <si>
    <t>1SDA038368R0001</t>
  </si>
  <si>
    <t>1SDA038369R0001</t>
  </si>
  <si>
    <t>1SDA038975R0001</t>
  </si>
  <si>
    <t>1SDA043466R0001</t>
  </si>
  <si>
    <t>1SDA043472R0001</t>
  </si>
  <si>
    <t>1SDA045737R0001</t>
  </si>
  <si>
    <t>1SDA048528R0001</t>
  </si>
  <si>
    <t>1SDA048531R0001</t>
  </si>
  <si>
    <t>1SDA048964R0001</t>
  </si>
  <si>
    <t>1SDA050163R0001</t>
  </si>
  <si>
    <t>1SDA050616R0001</t>
  </si>
  <si>
    <t>001</t>
  </si>
  <si>
    <t>002</t>
  </si>
  <si>
    <t>003</t>
  </si>
  <si>
    <t>004</t>
  </si>
  <si>
    <t>005</t>
  </si>
  <si>
    <t>006</t>
  </si>
  <si>
    <t>007</t>
  </si>
  <si>
    <t>008</t>
  </si>
  <si>
    <t>100 (Icw=75kA)</t>
  </si>
  <si>
    <t>100 (Icw=100kA)</t>
  </si>
  <si>
    <t>1SDA052672R0001</t>
  </si>
  <si>
    <t>E1B  800 PR113/P-LSIG-In=800A 3P F HR</t>
  </si>
  <si>
    <t>3</t>
  </si>
  <si>
    <t>PR113</t>
  </si>
  <si>
    <t>1SDA053753R0001</t>
  </si>
  <si>
    <t>E1N  800 PR111/P-LI-In=800A 3p F HR</t>
  </si>
  <si>
    <t>E1N</t>
  </si>
  <si>
    <t>1SDA053754R0001</t>
  </si>
  <si>
    <t>E1N  800 PR111/P-LSI-In=800A 3p F HR</t>
  </si>
  <si>
    <t>1SDA053755R0001</t>
  </si>
  <si>
    <t>E1N  800 PR111/P-LSIG-In=800A 3p F HR</t>
  </si>
  <si>
    <t>1SDA053757R0001</t>
  </si>
  <si>
    <t>E1N  800 PR112/P-LSI-In=800A 3p F HR</t>
  </si>
  <si>
    <t>1SDA053758R0001</t>
  </si>
  <si>
    <t>E1N  800 PR112/P-LSIG-In=800A 3p F HR</t>
  </si>
  <si>
    <t>1SDA053759R0001</t>
  </si>
  <si>
    <t>E1N  800 PR113/P-LSIG-In=800A 3p F HR</t>
  </si>
  <si>
    <t>1SDA052673R0001</t>
  </si>
  <si>
    <t>E1B 1250 PR113/P-LSIG-In=1250A 3P F HR</t>
  </si>
  <si>
    <t>1SDA053766R0001</t>
  </si>
  <si>
    <t>E1N 1250 PR111/P-LI-In=1250A 3p F HR</t>
  </si>
  <si>
    <t>1SDA053767R0001</t>
  </si>
  <si>
    <t>E1N 1250 PR111/P-LSI-In=1250A 3p F HR</t>
  </si>
  <si>
    <t>1SDA053768R0001</t>
  </si>
  <si>
    <t>E1N 1250 PR111/P-LSIG-In=1250A 3p F HR</t>
  </si>
  <si>
    <t>1SDA053769R0001</t>
  </si>
  <si>
    <t>E1N 1250 PR112/P-LSI-In=1250A 3p F HR</t>
  </si>
  <si>
    <t>1SDA053770R0001</t>
  </si>
  <si>
    <t>E1N 1250 PR112/P-LSIG-In=1250A 3p F HR</t>
  </si>
  <si>
    <t>1SDA053771R0001</t>
  </si>
  <si>
    <t>E1N 1250 PR113/P-LSIG-In=1250A 3p F HR</t>
  </si>
  <si>
    <t>1SDA052704R0001</t>
  </si>
  <si>
    <t>E1B  800 PR113/P-LSIG-In=800A 3P W MP</t>
  </si>
  <si>
    <t>1SDA053778R0001</t>
  </si>
  <si>
    <t>E1N  800 PR111/P-LI-In=800A 3p W MP</t>
  </si>
  <si>
    <t>1SDA053780R0001</t>
  </si>
  <si>
    <t>E1N  800 PR111/P-LSI-In=800A 3p W MP</t>
  </si>
  <si>
    <t>1SDA053781R0001</t>
  </si>
  <si>
    <t>E1N  800 PR111/P-LSIG-In=800A 3p W MP</t>
  </si>
  <si>
    <t>1SDA053782R0001</t>
  </si>
  <si>
    <t>E1N  800 PR112/P-LSI-In=800A 3p W MP</t>
  </si>
  <si>
    <t>1SDA053783R0001</t>
  </si>
  <si>
    <t>E1N  800 PR112/P-LSIG-In=800A 3p W MP</t>
  </si>
  <si>
    <t>1SDA053784R0001</t>
  </si>
  <si>
    <t>E1N  800 PR113/P-LSIG-In=800A 3p W MP</t>
  </si>
  <si>
    <t>1SDA052705R0001</t>
  </si>
  <si>
    <t>E1B 1250 PR113/P-LSIG-In=1250A 3P W MP</t>
  </si>
  <si>
    <t>1SDA053791R0001</t>
  </si>
  <si>
    <t>E1N 1250 PR111/P-LI-In=1250A 3p W MP</t>
  </si>
  <si>
    <t>1SDA053792R0001</t>
  </si>
  <si>
    <t>E1N 1250 PR111/P-LSI-In=1250A 3p W MP</t>
  </si>
  <si>
    <t>1SDA053793R0001</t>
  </si>
  <si>
    <t>E1N 1250 PR111/P-LSIG-In=1250A 3p W MP</t>
  </si>
  <si>
    <t>1SDA053794R0001</t>
  </si>
  <si>
    <t>E1N 1250 PR112/P-LSI-In=1250A 3p W MP</t>
  </si>
  <si>
    <t>1SDA053795R0001</t>
  </si>
  <si>
    <t>E1N 1250 PR112/P-LSIG-In=1250A 3p W MP</t>
  </si>
  <si>
    <t>1SDA053796R0001</t>
  </si>
  <si>
    <t>E1N 1250 PR113/P-LSIG-In=1250A 3p W MP</t>
  </si>
  <si>
    <t>1SDA052736R0001</t>
  </si>
  <si>
    <t>E1B  800  PR113/P-LSIG-In=800A 4P F HR</t>
  </si>
  <si>
    <t>4</t>
  </si>
  <si>
    <t>1SDA053760R0001</t>
  </si>
  <si>
    <t>E1N  800 PR111/P-LI-In=800A 4p F HR</t>
  </si>
  <si>
    <t>1SDA053761R0001</t>
  </si>
  <si>
    <t>E1N  800 PR111/P-LSI-In=800A 4p F HR</t>
  </si>
  <si>
    <t>1SDA053762R0001</t>
  </si>
  <si>
    <t>E1N  800 PR111/P-LSIG-In=800A 4p F HR</t>
  </si>
  <si>
    <t>1SDA053763R0001</t>
  </si>
  <si>
    <t>E1N  800 PR112/P-LSI-In=800A 4p F HR</t>
  </si>
  <si>
    <t>1SDA053764R0001</t>
  </si>
  <si>
    <t>E1N  800 PR112/P-LSIG-In=800A 4p F HR</t>
  </si>
  <si>
    <t>1SDA053765R0001</t>
  </si>
  <si>
    <t>E1N  800 PR113/P-LSIG-In=800A 4p F HR</t>
  </si>
  <si>
    <t>1SDA052737R0001</t>
  </si>
  <si>
    <t>E1B 1250  PR113/P-LSIG-In=1250A 4P F HR</t>
  </si>
  <si>
    <t>1SDA053772R0001</t>
  </si>
  <si>
    <t>E1N 1250 PR111/P-LI-In=1250A 4p F HR</t>
  </si>
  <si>
    <t>1SDA053773R0001</t>
  </si>
  <si>
    <t>E1N 1250 PR111/P-LSI-In=1250A 4p F HR</t>
  </si>
  <si>
    <t>1SDA053774R0001</t>
  </si>
  <si>
    <t>E1N 1250 PR111/P-LSIG-In=1250A 4p F HR</t>
  </si>
  <si>
    <t>1SDA053775R0001</t>
  </si>
  <si>
    <t>E1N 1250 PR112/P-LSI-In=1250A 4p F HR</t>
  </si>
  <si>
    <t>1SDA053776R0001</t>
  </si>
  <si>
    <t>E1N 1250 PR112/P-LSIG-In=1250A 4p F HR</t>
  </si>
  <si>
    <t>1SDA053777R0001</t>
  </si>
  <si>
    <t>E1N 1250 PR113/P-LSIG-In=1250A 4p F HR</t>
  </si>
  <si>
    <t>1SDA052772R0001</t>
  </si>
  <si>
    <t>E1B  800  PR113/P-LSIG-In=800A 4P W MP</t>
  </si>
  <si>
    <t>1SDA053785R0001</t>
  </si>
  <si>
    <t>E1N  800 PR111/P-LI-In=800A 4p W MP</t>
  </si>
  <si>
    <t>1SDA053786R0001</t>
  </si>
  <si>
    <t>E1N  800 PR111/P-LSI-In=800A 4p W MP</t>
  </si>
  <si>
    <t>1SDA053787R0001</t>
  </si>
  <si>
    <t>E1N  800 PR111/P-LSIG-In=800A 4p W MP</t>
  </si>
  <si>
    <t>1SDA053788R0001</t>
  </si>
  <si>
    <t>E1N  800 PR112/P-LSI-In=800A 4p W MP</t>
  </si>
  <si>
    <t>1SDA053789R0001</t>
  </si>
  <si>
    <t>E1N  800 PR112/P-LSIG-In=800A 4p W MP</t>
  </si>
  <si>
    <t>1SDA053790R0001</t>
  </si>
  <si>
    <t>E1N  800 PR113/P-LSIG-In=800A 4p W MP</t>
  </si>
  <si>
    <t>1SDA052773R0001</t>
  </si>
  <si>
    <t>E1B 1250  PR113/P-LSIG-In=1250A 4P W MP</t>
  </si>
  <si>
    <t>1SDA053797R0001</t>
  </si>
  <si>
    <t>E1N 1250 PR111/P-LI-In=1250A 4p W MP</t>
  </si>
  <si>
    <t>1SDA053798R0001</t>
  </si>
  <si>
    <t>E1N 1250 PR111/P-LSI-In=1250A 4p W MP</t>
  </si>
  <si>
    <t>1SDA053799R0001</t>
  </si>
  <si>
    <t>E1N 1250 PR111/P-LSIG-In=1250A 4p W MP</t>
  </si>
  <si>
    <t>1SDA053800R0001</t>
  </si>
  <si>
    <t>E1N 1250 PR112/P-LSI-In=1250A 4p W MP</t>
  </si>
  <si>
    <t>1SDA053801R0001</t>
  </si>
  <si>
    <t>E1N 1250 PR112/P-LSIG-In=1250A 4p W MP</t>
  </si>
  <si>
    <t>1SDA053802R0001</t>
  </si>
  <si>
    <t>E1N 1250 PR113/P-LSIG-In=1250A 4p W MP</t>
  </si>
  <si>
    <t>1SDA052676R0001</t>
  </si>
  <si>
    <t>E2N 1250 PR113/P-LSIG-In=1250A 3P F HR</t>
  </si>
  <si>
    <t>1SDA052679R0001</t>
  </si>
  <si>
    <t>E2L 1250 PR113/P-LSIG-In=1250A 3P F HR</t>
  </si>
  <si>
    <t>1SDA052674R0001</t>
  </si>
  <si>
    <t>E2B 1600 PR113/P-LSIG-In=1600A 3P F HR</t>
  </si>
  <si>
    <t>1SDA052677R0001</t>
  </si>
  <si>
    <t>E2N 1600 PR113/P-LSIG-In=1600A 3P F HR</t>
  </si>
  <si>
    <t>1SDA052680R0001</t>
  </si>
  <si>
    <t>E2L 1600 PR113/P-LSIG-In=1600A 3P F HR</t>
  </si>
  <si>
    <t>1SDA052675R0001</t>
  </si>
  <si>
    <t>E2B 2000 PR113/P-LSIG-In=2000A 3P F HR</t>
  </si>
  <si>
    <t>1SDA052678R0001</t>
  </si>
  <si>
    <t>E2N 2000 PR113/P-LSIG-In=2000A 3P F HR</t>
  </si>
  <si>
    <t>1SDA052708R0001</t>
  </si>
  <si>
    <t>E2N 1250 PR113/P-LSIG-In=1250A 3P W MP</t>
  </si>
  <si>
    <t>1SDA052711R0001</t>
  </si>
  <si>
    <t>E2L 1250 PR113/P-LSIG-In=1250A 3P W MP</t>
  </si>
  <si>
    <t>1SDA052706R0001</t>
  </si>
  <si>
    <t>E2B 1600 PR113/P-LSIG-In=1600A 3P W MP</t>
  </si>
  <si>
    <t>1SDA052709R0001</t>
  </si>
  <si>
    <t>E2N 1600 PR113/P-LSIG-In=1600A 3P W MP</t>
  </si>
  <si>
    <t>1SDA052712R0001</t>
  </si>
  <si>
    <t>E2L 1600 PR113/P-LSIG-In=1600A 3P W MP</t>
  </si>
  <si>
    <t>1SDA052707R0001</t>
  </si>
  <si>
    <t>E2B 2000 PR113/P-LSIG-In=2000A 3P W MP</t>
  </si>
  <si>
    <t>1SDA052710R0001</t>
  </si>
  <si>
    <t>E2N 2000 PR113/P-LSIG-In=2000A 3P W MP</t>
  </si>
  <si>
    <t>1SDA052740R0001</t>
  </si>
  <si>
    <t>E2N 1250  PR113/P-LSIG-In=1250A 4P F HR</t>
  </si>
  <si>
    <t>1SDA052743R0001</t>
  </si>
  <si>
    <t>E2L 1250  PR113/P-LSIG-In=1250A 4P F HR</t>
  </si>
  <si>
    <t>1SDA052738R0001</t>
  </si>
  <si>
    <t>E2B 1600  PR113/P-LSIG-In=1600A 4P F HR</t>
  </si>
  <si>
    <t>1SDA052741R0001</t>
  </si>
  <si>
    <t>E2N 1600  PR113/P-LSIG-In=1600A 4P F HR</t>
  </si>
  <si>
    <t>1SDA052744R0001</t>
  </si>
  <si>
    <t>E2L 1600  PR113/P-LSIG-In=1600A 4P F HR</t>
  </si>
  <si>
    <t>1SDA052739R0001</t>
  </si>
  <si>
    <t>E2B 2000  PR113/P-LSIG-In=2000A 4P F HR</t>
  </si>
  <si>
    <t>1SDA052742R0001</t>
  </si>
  <si>
    <t>E2N 2000  PR113/P-LSIG-In=2000A 4P F HR</t>
  </si>
  <si>
    <t>1SDA052776R0001</t>
  </si>
  <si>
    <t>E2N 1250  PR113/P-LSIG-In=1250A 4P W MP</t>
  </si>
  <si>
    <t>1SDA052779R0001</t>
  </si>
  <si>
    <t>E2L 1250  PR113/P-LSIG-In=1250A 4P W MP</t>
  </si>
  <si>
    <t>1SDA052774R0001</t>
  </si>
  <si>
    <t>E2B 1600  PR113/P-LSIG-In=1600A 4P W MP</t>
  </si>
  <si>
    <t>1SDA052777R0001</t>
  </si>
  <si>
    <t>E2N 1600  PR113/P-LSIG-In=1600A 4P W MP</t>
  </si>
  <si>
    <t>1SDA052780R0001</t>
  </si>
  <si>
    <t>E2L 1600  PR113/P-LSIG-In=1600A 4P W MP</t>
  </si>
  <si>
    <t>1SDA052775R0001</t>
  </si>
  <si>
    <t>E2B 2000  PR113/P-LSIG-In=2000A 4P W MP</t>
  </si>
  <si>
    <t>1SDA052778R0001</t>
  </si>
  <si>
    <t>E2N 2000  PR113/P-LSIG-In=2000A 4P W MP</t>
  </si>
  <si>
    <t>1SDA052683R0001</t>
  </si>
  <si>
    <t>E3S 1250 PR113/P-LSIG-In=1250A 3P F HR</t>
  </si>
  <si>
    <t>1SDA052688R0001</t>
  </si>
  <si>
    <t>E3H 1250 PR113/P-LSIG-In=1250A 3P F HR</t>
  </si>
  <si>
    <t>1SDA052684R0001</t>
  </si>
  <si>
    <t>E3S 1600 PR113/P-LSIG-In=1600A 3P F HR</t>
  </si>
  <si>
    <t>1SDA052689R0001</t>
  </si>
  <si>
    <t>E3H 1600 PR113/P-LSIG-In=1600A 3P F HR</t>
  </si>
  <si>
    <t>1SDA052685R0001</t>
  </si>
  <si>
    <t>E3S 2000 PR113/P-LSIG-In=2000A 3P F HR</t>
  </si>
  <si>
    <t>1SDA052690R0001</t>
  </si>
  <si>
    <t>E3H 2000 PR113/P-LSIG-In=2000A 3P F HR</t>
  </si>
  <si>
    <t>1SDA052693R0001</t>
  </si>
  <si>
    <t>E3L 2000 PR113/P-LSIG-In=2000A 3P F HR</t>
  </si>
  <si>
    <t>1SDA052681R0001</t>
  </si>
  <si>
    <t>E3N 2500 PR113/P-LSIG-In=2500A 3P F HR</t>
  </si>
  <si>
    <t>1SDA052686R0001</t>
  </si>
  <si>
    <t>E3S 2500 PR113/P-LSIG-In=2500A 3P F HR</t>
  </si>
  <si>
    <t>1SDA052691R0001</t>
  </si>
  <si>
    <t>E3H 2500 PR113/P-LSIG-In=2500A 3P F HR</t>
  </si>
  <si>
    <t>1SDA052694R0001</t>
  </si>
  <si>
    <t>E3L 2500 PR113/P-LSIG-In=2500A 3P F HR</t>
  </si>
  <si>
    <t>1SDA052682R0001</t>
  </si>
  <si>
    <t>E3N 3200 PR113/P-LSIG-In=3200A 3P F HR</t>
  </si>
  <si>
    <t>1SDA052687R0001</t>
  </si>
  <si>
    <t>E3S 3200 PR113/P-LSIG-In=3200A 3P F HR</t>
  </si>
  <si>
    <t>1SDA052692R0001</t>
  </si>
  <si>
    <t>E3H 3200 PR113/P-LSIG-In=3200A 3P F HR</t>
  </si>
  <si>
    <t>1SDA052715R0001</t>
  </si>
  <si>
    <t>E3S 1250 PR113/P-LSIG-In=1250A 3P W MP</t>
  </si>
  <si>
    <t>1SDA052720R0001</t>
  </si>
  <si>
    <t>1SDA037763R0001</t>
  </si>
  <si>
    <t>1SDA037764R0001</t>
  </si>
  <si>
    <t>1SDA037765R0001</t>
  </si>
  <si>
    <t>1SDA037766R0001</t>
  </si>
  <si>
    <t>1SDA037767R0001</t>
  </si>
  <si>
    <t>1SDA037768R0001</t>
  </si>
  <si>
    <t>1SDA037769R0001</t>
  </si>
  <si>
    <t>1SDA037770R0001</t>
  </si>
  <si>
    <t>1SDA037771R0001</t>
  </si>
  <si>
    <t>1SDA037772R0001</t>
  </si>
  <si>
    <t>1SDA037773R0001</t>
  </si>
  <si>
    <t>1SDA037774R0001</t>
  </si>
  <si>
    <t>1SDA037775R0001</t>
  </si>
  <si>
    <t>1SDA037776R0001</t>
  </si>
  <si>
    <t>1SDA037777R0001</t>
  </si>
  <si>
    <t>1SDA037778R0001</t>
  </si>
  <si>
    <t>1SDA037779R0001</t>
  </si>
  <si>
    <t>1SDA037780R0001</t>
  </si>
  <si>
    <t>1SDA037782R0001</t>
  </si>
  <si>
    <t>1SDA037783R0001</t>
  </si>
  <si>
    <t>1SDA037784R0001</t>
  </si>
  <si>
    <t>1SDA037785R0001</t>
  </si>
  <si>
    <t>1SDA037786R0001</t>
  </si>
  <si>
    <t>1SDA037787R0001</t>
  </si>
  <si>
    <t>1SDA037788R0001</t>
  </si>
  <si>
    <t>1SDA037789R0001</t>
  </si>
  <si>
    <t>1SDA037790R0001</t>
  </si>
  <si>
    <t>1SDA037791R0001</t>
  </si>
  <si>
    <t>1SDA050642R0001</t>
  </si>
  <si>
    <t>1SDA048740R0001</t>
  </si>
  <si>
    <t>E4S 4000/F PR112/P-LSIG-In=4000A 4P F HR</t>
  </si>
  <si>
    <t>1SDA052761R0001</t>
  </si>
  <si>
    <t>E4S 4000/F PR113/P-LSIG-In=4000A 4P F HR</t>
  </si>
  <si>
    <t>1SDA048695R0001</t>
  </si>
  <si>
    <t>E4S 4000/F PR111/P-LI-In=4000A 4P W MP</t>
  </si>
  <si>
    <t>1SDA048696R0001</t>
  </si>
  <si>
    <t>E4S 4000/F PR111/P-LSI-In=4000A 4P W MP</t>
  </si>
  <si>
    <t>1SDA048697R0001</t>
  </si>
  <si>
    <t>E4S 4000/F PR111/P-LSIG-In=4000A 4P W MP</t>
  </si>
  <si>
    <t>1SDA048698R0001</t>
  </si>
  <si>
    <t>E4S 4000/F PR112/P-LSI-In=4000A 4P W MP</t>
  </si>
  <si>
    <t>1SDA048699R0001</t>
  </si>
  <si>
    <t>E4S 4000/F PR112/P-LSIG-In=4000A 4P W MP</t>
  </si>
  <si>
    <t>1SDA052796R0001</t>
  </si>
  <si>
    <t>E4S 4000/F PR113/P-LSIG-In=4000A 4P W MP</t>
  </si>
  <si>
    <t>1SDA048702R0001</t>
  </si>
  <si>
    <t>E4 W FP 4p HR-HR  N=100%</t>
  </si>
  <si>
    <t>1SDA048707R0001</t>
  </si>
  <si>
    <t>E4 W FP 4p VR-VR  N=100%</t>
  </si>
  <si>
    <t>1SDA048712R0001</t>
  </si>
  <si>
    <t>E4 W FP 4p F-F  N=100%</t>
  </si>
  <si>
    <t>1SDA048717R0001</t>
  </si>
  <si>
    <t>E4 W FP 4p FL-FL  N=100%</t>
  </si>
  <si>
    <t xml:space="preserve">E3S/MS </t>
  </si>
  <si>
    <t xml:space="preserve">E3N/MS </t>
  </si>
  <si>
    <t xml:space="preserve">E4H/MS </t>
  </si>
  <si>
    <t xml:space="preserve">E4S/MS </t>
  </si>
  <si>
    <t xml:space="preserve">E6H/MS </t>
  </si>
  <si>
    <t>Na základě Vašich požadavků Vam nabízíme přístroj dle následující specifikace:</t>
  </si>
  <si>
    <t>Objednáváme přístroj dle následující specifikace:</t>
  </si>
  <si>
    <t>A1</t>
  </si>
  <si>
    <t>A2</t>
  </si>
  <si>
    <t>Pomocné kontakty 5/5</t>
  </si>
  <si>
    <t>Pomocné kontakty</t>
  </si>
  <si>
    <t>pom. kont.:</t>
  </si>
  <si>
    <t>E6H/MS 6300  4p F F</t>
  </si>
  <si>
    <t>E6H/MS 6300  3p F F</t>
  </si>
  <si>
    <t>E6H/MS 5000  3p F F</t>
  </si>
  <si>
    <t>E4H/MS 4000  3p F F</t>
  </si>
  <si>
    <t>E4H/MS 3200  3p F F</t>
  </si>
  <si>
    <t>E1/CS 1250  3p W MP</t>
  </si>
  <si>
    <t>E1/CS 1250  4p W MP</t>
  </si>
  <si>
    <t>E1/MT Upstream Earthing Truck 1250  3p W MP</t>
  </si>
  <si>
    <t>1SDA042245R0001</t>
  </si>
  <si>
    <t>1SDA042215R0001</t>
  </si>
  <si>
    <t>1SDA042230R0001</t>
  </si>
  <si>
    <t>1SDA040814R0001</t>
  </si>
  <si>
    <t>1SDA040784R0001</t>
  </si>
  <si>
    <t>1SDA040799R0001</t>
  </si>
  <si>
    <t>1SDA040818R0001</t>
  </si>
  <si>
    <t>1SDA040788R0001</t>
  </si>
  <si>
    <t>1SDA040803R0001</t>
  </si>
  <si>
    <t>1SDA040816R0001</t>
  </si>
  <si>
    <t>1SDA040786R0001</t>
  </si>
  <si>
    <t>1SDA040801R0001</t>
  </si>
  <si>
    <t>1SDA040822R0001</t>
  </si>
  <si>
    <t>1SDA040792R0001</t>
  </si>
  <si>
    <t>1SDA040807R0001</t>
  </si>
  <si>
    <t>1SDA040820R0001</t>
  </si>
  <si>
    <t>1SDA040790R0001</t>
  </si>
  <si>
    <t>1SDA040805R0001</t>
  </si>
  <si>
    <t>1SDA041399R0001</t>
  </si>
  <si>
    <t>1SDA041369R0001</t>
  </si>
  <si>
    <t>1SDA041384R0001</t>
  </si>
  <si>
    <t>1SDA041403R0001</t>
  </si>
  <si>
    <t>1SDA041373R0001</t>
  </si>
  <si>
    <t>1SDA041388R0001</t>
  </si>
  <si>
    <t>1SDA041401R0001</t>
  </si>
  <si>
    <t>1SDA041371R0001</t>
  </si>
  <si>
    <t>1SDA041386R0001</t>
  </si>
  <si>
    <t>1SDA041407R0001</t>
  </si>
  <si>
    <t>1SDA041377R0001</t>
  </si>
  <si>
    <t>1SDA041392R0001</t>
  </si>
  <si>
    <t>1SDA041405R0001</t>
  </si>
  <si>
    <t>1SDA041375R0001</t>
  </si>
  <si>
    <t>1SDA041390R0001</t>
  </si>
  <si>
    <t>1SDA041999R0001</t>
  </si>
  <si>
    <t>1SDA041969R0001</t>
  </si>
  <si>
    <t>1SDA041984R0001</t>
  </si>
  <si>
    <t>1SDA042003R0001</t>
  </si>
  <si>
    <t>1SDA041973R0001</t>
  </si>
  <si>
    <t>1SDA041988R0001</t>
  </si>
  <si>
    <t>1SDA042001R0001</t>
  </si>
  <si>
    <t>1SDA041971R0001</t>
  </si>
  <si>
    <t>1SDA041986R0001</t>
  </si>
  <si>
    <t>1SDA042007R0001</t>
  </si>
  <si>
    <t>1SDA041977R0001</t>
  </si>
  <si>
    <t>1SDA041992R0001</t>
  </si>
  <si>
    <t>1SDA042005R0001</t>
  </si>
  <si>
    <t>1SDA041975R0001</t>
  </si>
  <si>
    <t>1SDA041990R0001</t>
  </si>
  <si>
    <t>1SDA040934R0001</t>
  </si>
  <si>
    <t>1SDA040938R0001</t>
  </si>
  <si>
    <t>1SDA040936R0001</t>
  </si>
  <si>
    <t>1SDA040942R0001</t>
  </si>
  <si>
    <t>1SDA040940R0001</t>
  </si>
  <si>
    <t>1SDA041534R0001</t>
  </si>
  <si>
    <t>1SDA041538R0001</t>
  </si>
  <si>
    <t>1SDA041536R0001</t>
  </si>
  <si>
    <t>1SDA041542R0001</t>
  </si>
  <si>
    <t>1SDA041540R0001</t>
  </si>
  <si>
    <t>1SDA041054R0001</t>
  </si>
  <si>
    <t>1SDA041058R0001</t>
  </si>
  <si>
    <t>1SDA041056R0001</t>
  </si>
  <si>
    <t>1SDA041062R0001</t>
  </si>
  <si>
    <t>1SDA041060R0001</t>
  </si>
  <si>
    <t>1SDA041654R0001</t>
  </si>
  <si>
    <t>1SDA041658R0001</t>
  </si>
  <si>
    <t>1SDA041656R0001</t>
  </si>
  <si>
    <t>1SDA041662R0001</t>
  </si>
  <si>
    <t>1SDA041660R0001</t>
  </si>
  <si>
    <t>1SDA041174R0001</t>
  </si>
  <si>
    <t>1SDA041178R0001</t>
  </si>
  <si>
    <t>1SDA041176R0001</t>
  </si>
  <si>
    <t>1SDA041182R0001</t>
  </si>
  <si>
    <t>1SDA041180R0001</t>
  </si>
  <si>
    <t>1SDA041774R0001</t>
  </si>
  <si>
    <t>1SDA041778R0001</t>
  </si>
  <si>
    <t>1SDA041776R0001</t>
  </si>
  <si>
    <t>1SDA041782R0001</t>
  </si>
  <si>
    <t>1SDA041780R0001</t>
  </si>
  <si>
    <t>1SDA042134R0001</t>
  </si>
  <si>
    <t>1SDA042138R0001</t>
  </si>
  <si>
    <t>1SDA042136R0001</t>
  </si>
  <si>
    <t>1SDA042142R0001</t>
  </si>
  <si>
    <t>1SDA042140R0001</t>
  </si>
  <si>
    <t>1SDA040694R0001</t>
  </si>
  <si>
    <t>1SDA040698R0001</t>
  </si>
  <si>
    <t>1SDA040696R0001</t>
  </si>
  <si>
    <t>1SDA040702R0001</t>
  </si>
  <si>
    <t>1SDA040700R0001</t>
  </si>
  <si>
    <t>1SDA041294R0001</t>
  </si>
  <si>
    <t>1SDA041298R0001</t>
  </si>
  <si>
    <t>1SDA041296R0001</t>
  </si>
  <si>
    <t>1SDA041302R0001</t>
  </si>
  <si>
    <t>1SDA041300R0001</t>
  </si>
  <si>
    <t>1SDA041894R0001</t>
  </si>
  <si>
    <t>1SDA041898R0001</t>
  </si>
  <si>
    <t>1SDA041896R0001</t>
  </si>
  <si>
    <t>1SDA041902R0001</t>
  </si>
  <si>
    <t>1SDA041900R0001</t>
  </si>
  <si>
    <t>1SDA042254R0001</t>
  </si>
  <si>
    <t>1SDA042258R0001</t>
  </si>
  <si>
    <t>1SDA042256R0001</t>
  </si>
  <si>
    <t>1SDA042262R0001</t>
  </si>
  <si>
    <t>1SDA042260R0001</t>
  </si>
  <si>
    <t>1SDA040829R0001</t>
  </si>
  <si>
    <t>1SDA040833R0001</t>
  </si>
  <si>
    <t>1SDA040831R0001</t>
  </si>
  <si>
    <t>1SDA040837R0001</t>
  </si>
  <si>
    <t>1SDA040835R0001</t>
  </si>
  <si>
    <t>1SDA041414R0001</t>
  </si>
  <si>
    <t>1SDA041418R0001</t>
  </si>
  <si>
    <t>1SDA041416R0001</t>
  </si>
  <si>
    <t>1SDA041422R0001</t>
  </si>
  <si>
    <t>1SDA041420R0001</t>
  </si>
  <si>
    <t>1SDA042014R0001</t>
  </si>
  <si>
    <t>1SDA042018R0001</t>
  </si>
  <si>
    <t>1SDA042016R0001</t>
  </si>
  <si>
    <t>1SDA042022R0001</t>
  </si>
  <si>
    <t>1SDA042020R0001</t>
  </si>
  <si>
    <t>1SDA040979R0001</t>
  </si>
  <si>
    <t>1SDA040949R0001</t>
  </si>
  <si>
    <t>1SDA040964R0001</t>
  </si>
  <si>
    <t>1SDA040983R0001</t>
  </si>
  <si>
    <t>1SDA040953R0001</t>
  </si>
  <si>
    <t>1SDA040968R0001</t>
  </si>
  <si>
    <t>1SDA040981R0001</t>
  </si>
  <si>
    <t>1SDA040951R0001</t>
  </si>
  <si>
    <t>1SDA040966R0001</t>
  </si>
  <si>
    <t>1SDA040987R0001</t>
  </si>
  <si>
    <t>1SDA040957R0001</t>
  </si>
  <si>
    <t>1SDA040972R0001</t>
  </si>
  <si>
    <t>1SDA040985R0001</t>
  </si>
  <si>
    <t>1SDA040955R0001</t>
  </si>
  <si>
    <t>1SDA040970R0001</t>
  </si>
  <si>
    <t>1SDA041579R0001</t>
  </si>
  <si>
    <t>1SDA041549R0001</t>
  </si>
  <si>
    <t>1SDA041564R0001</t>
  </si>
  <si>
    <t>1SDA041583R0001</t>
  </si>
  <si>
    <t>CTs In= 800A 4p E1/2</t>
  </si>
  <si>
    <t>CTs In=1250A 4p E1/2</t>
  </si>
  <si>
    <t>CTs In=1600A 4p E2</t>
  </si>
  <si>
    <t>CTs In=2000A 4p E2</t>
  </si>
  <si>
    <t>CTs In= 800A 3p E3</t>
  </si>
  <si>
    <t>CTs In=1250A 3p E3</t>
  </si>
  <si>
    <t>CTs In=1600A 3p E3</t>
  </si>
  <si>
    <t>CTs In=2000A 3p E3</t>
  </si>
  <si>
    <t>CTs In=2500A 3p E3</t>
  </si>
  <si>
    <t>CTs In=3200A 3p E3</t>
  </si>
  <si>
    <t>CTs In= 800A 4p E3</t>
  </si>
  <si>
    <t>CTs In=1250A 4p E3</t>
  </si>
  <si>
    <t>CTs In=1600A 4p E3</t>
  </si>
  <si>
    <t>CTs In=2000A 4p E3</t>
  </si>
  <si>
    <t>CTs In=2500A 4p E3</t>
  </si>
  <si>
    <t>CTs In=3200A 4p E3</t>
  </si>
  <si>
    <t>CTs In=2000A 3p E4</t>
  </si>
  <si>
    <t>CTs In=3200A 3p E4</t>
  </si>
  <si>
    <t>CTs In=4000A 3p E4</t>
  </si>
  <si>
    <t>CTs In=2000A 4p E4</t>
  </si>
  <si>
    <t>CTs In=3200A 4p E4</t>
  </si>
  <si>
    <t>CTs In=4000A 4p E4</t>
  </si>
  <si>
    <t>CTs In=3200A 3p E6</t>
  </si>
  <si>
    <t>CTs In=4000A 3p E6</t>
  </si>
  <si>
    <t>CTs In=5000A 3p E6</t>
  </si>
  <si>
    <t>CTs In=6300A 3p E6</t>
  </si>
  <si>
    <t>CTs In=3200A 4p E6</t>
  </si>
  <si>
    <t>CTs In=4000A 4p E6</t>
  </si>
  <si>
    <t>CTs In=5000A 4p E6</t>
  </si>
  <si>
    <t>CTs In=6300A 4p E6</t>
  </si>
  <si>
    <t>KIT 1/2 3p F HR&gt;F VR E1</t>
  </si>
  <si>
    <t>KIT 1/2 3p F HR&gt;F VR E2</t>
  </si>
  <si>
    <t>KIT 1/2 3p F HR&gt;F VR E3</t>
  </si>
  <si>
    <t>KIT 1/2 3p F HR&gt;F VR E4</t>
  </si>
  <si>
    <t>KIT 1/2 3p F HR&gt;F VR E6</t>
  </si>
  <si>
    <t>KIT 1/2 4p F HR&gt;F VR E1</t>
  </si>
  <si>
    <t>KIT 1/2 4p F HR&gt;F VR E2</t>
  </si>
  <si>
    <t>KIT 1/2 4p F HR&gt;F VR E3</t>
  </si>
  <si>
    <t>KIT 1/2 4p F HR&gt;F VR E4</t>
  </si>
  <si>
    <t>KIT 1/2 4p F HR&gt;F VR E6</t>
  </si>
  <si>
    <t>KIT 1/2 3p F HR&gt;F F E1</t>
  </si>
  <si>
    <t>KIT 1/2 3p F HR&gt;F F E2</t>
  </si>
  <si>
    <t>KIT 1/2 3p F HR&gt;F F E3</t>
  </si>
  <si>
    <t>KIT 1/2 3p F HR&gt;F F E4</t>
  </si>
  <si>
    <t>KIT 1/2 3p F HR&gt;F F E6</t>
  </si>
  <si>
    <t>KIT 1/2 4p F HR&gt;F F E1</t>
  </si>
  <si>
    <t>KIT 1/2 4p F HR&gt;F F E2</t>
  </si>
  <si>
    <t>KIT 1/2 4p F HR&gt;F F E3</t>
  </si>
  <si>
    <t>KIT 1/2 4p F HR&gt;F F E4</t>
  </si>
  <si>
    <t>KIT 1/2 4p F HR&gt;F F E6</t>
  </si>
  <si>
    <t>Demo jednotka SD-Wiew 810/10</t>
  </si>
  <si>
    <t>CTs  EXT. NEUTRAL In= 250A E1-2</t>
  </si>
  <si>
    <t>CTs  EXT. NEUTRAL In= 400A E1-2</t>
  </si>
  <si>
    <t>CTs  EXT. NEUTRAL In= 800A E1-2</t>
  </si>
  <si>
    <t>CTs  EXT. NEUTRAL In=1250A E1-2</t>
  </si>
  <si>
    <t>CTs  EXT. NEUTRAL In=1600A E2</t>
  </si>
  <si>
    <t>CTs  EXT. NEUTRAL In=2000A E2-4</t>
  </si>
  <si>
    <t>CTs  EXT. NEUTRAL In=3200A E4</t>
  </si>
  <si>
    <t>CTs  EXT. NEUTRAL In=4000A E4</t>
  </si>
  <si>
    <t>CTs  EXT. NEUTRAL In= 800A E3</t>
  </si>
  <si>
    <t>1SDA041881R0001</t>
  </si>
  <si>
    <t>1SDA041851R0001</t>
  </si>
  <si>
    <t>1SDA041866R0001</t>
  </si>
  <si>
    <t>1SDA041887R0001</t>
  </si>
  <si>
    <t>mech. sig.</t>
  </si>
  <si>
    <t>el. sig.</t>
  </si>
  <si>
    <t>El. signal. musí být s mech. signal.!</t>
  </si>
  <si>
    <t>Elektrická signalizace vypnutí spouští"</t>
  </si>
  <si>
    <t>E3S 2000 PR111/P-LI-In=2000A 4p W MP</t>
  </si>
  <si>
    <t>E3H 1600 PR111/P-LI-In=1600A 4p F F</t>
  </si>
  <si>
    <t>E3H 1600 PR111/P-LI-In=1600A 4p F HR</t>
  </si>
  <si>
    <t>E3H 1600 PR111/P-LI-In=1600A 4p F VR</t>
  </si>
  <si>
    <t>E3H 1600 PR111/P-LSIG-In=1600A 4p F F</t>
  </si>
  <si>
    <t>E3H 1600 PR111/P-LSIG-In=1600A 4p F HR</t>
  </si>
  <si>
    <t>E3H 1600 PR111/P-LSIG-In=1600A 4p F VR</t>
  </si>
  <si>
    <t>E3H 1600 PR111/P-LSI-In=1600A 4p F F</t>
  </si>
  <si>
    <t>E3H 1600 PR111/P-LSI-In=1600A 4p F HR</t>
  </si>
  <si>
    <t>E3H 1600 PR111/P-LSI-In=1600A 4p F VR</t>
  </si>
  <si>
    <t>E3H 1600 PR112/P-LSIG-In=1600A 4p F F</t>
  </si>
  <si>
    <t>E3H 1600 PR112/P-LSIG-In=1600A 4p F HR</t>
  </si>
  <si>
    <t>E3H 1600 PR112/P-LSIG-In=1600A 4p F VR</t>
  </si>
  <si>
    <t>E3H 1600 PR112/P-LSI-In=1600A 4p F F</t>
  </si>
  <si>
    <t>E3H 1600 PR112/P-LSI-In=1600A 4p F HR</t>
  </si>
  <si>
    <t>E3H 1600 PR112/P-LSI-In=1600A 4p F VR</t>
  </si>
  <si>
    <t>E3S 2000 PR111/P-LI-In=2000A 4p F F</t>
  </si>
  <si>
    <t>E3S 2000 PR111/P-LI-In=2000A 4p F HR</t>
  </si>
  <si>
    <t>E3S 2000 PR111/P-LI-In=2000A 4p F VR</t>
  </si>
  <si>
    <t>E3S 2000 PR111/P-LSIG-In=2000A 4p F F</t>
  </si>
  <si>
    <t>E3S 2000 PR111/P-LSIG-In=2000A 4p F HR</t>
  </si>
  <si>
    <t>E3S 2000 PR111/P-LSIG-In=2000A 4p F VR</t>
  </si>
  <si>
    <t>E3S 2000 PR111/P-LSI-In=2000A 4p F F</t>
  </si>
  <si>
    <t>E3S 2000 PR111/P-LSI-In=2000A 4p F HR</t>
  </si>
  <si>
    <t>E3S 2000 PR111/P-LSI-In=2000A 4p F VR</t>
  </si>
  <si>
    <t>E3S 2000 PR112/P-LSIG-In=2000A 4p F F</t>
  </si>
  <si>
    <t>E3S 2000 PR112/P-LSIG-In=2000A 4p F HR</t>
  </si>
  <si>
    <t>E3S 2000 PR112/P-LSIG-In=2000A 4p F VR</t>
  </si>
  <si>
    <t>E3S 2000 PR112/P-LSI-In=2000A 4p F F</t>
  </si>
  <si>
    <t>E3S 2000 PR112/P-LSI-In=2000A 4p F HR</t>
  </si>
  <si>
    <t>Zámek zas./vys./test. polohy, klíč č. 0025451 E1/6</t>
  </si>
  <si>
    <t>Příslušenství zámku vys./test. polohy</t>
  </si>
  <si>
    <t>Deska blokování  E1/6</t>
  </si>
  <si>
    <t>Sliding contact for FP ACB E1/6</t>
  </si>
  <si>
    <t>Příslušenství uzamyk. zařízení</t>
  </si>
  <si>
    <t>Příslušenství pro mech. blokování  A, B, D  E1/6</t>
  </si>
  <si>
    <t>Příslušenství pro mech. blokování  C  E1/6</t>
  </si>
  <si>
    <t>Příslušenství pro mech. blokování  E1/2</t>
  </si>
  <si>
    <t>Příslušenství pro mech. blokování  E3</t>
  </si>
  <si>
    <t>Příslušenství pro mech. blokování  E4 3p.</t>
  </si>
  <si>
    <t>Příslušenství pro mech. blokování  E6 4p.</t>
  </si>
  <si>
    <t>E4/MT Downstream Earthing Truck 4000  3p W MP</t>
  </si>
  <si>
    <t>E4S 4000 PR112/P-LSI-In=4000A 4p F F</t>
  </si>
  <si>
    <t>E3N 2500 PR111/P-LI-In=2500A 4p F VR</t>
  </si>
  <si>
    <t>E3N 2500 PR111/P-LSIG-In=2500A 4p F F</t>
  </si>
  <si>
    <t>E3N 2500 PR111/P-LSIG-In=2500A 4p F HR</t>
  </si>
  <si>
    <t>E3N 2500 PR111/P-LSIG-In=2500A 4p F VR</t>
  </si>
  <si>
    <t>E3N 2500 PR111/P-LSI-In=2500A 4p F F</t>
  </si>
  <si>
    <t>E3N 2500 PR111/P-LSI-In=2500A 4p F HR</t>
  </si>
  <si>
    <t>E3N 2500 PR111/P-LSI-In=2500A 4p F VR</t>
  </si>
  <si>
    <t>E3N 2500 PR112/P-LSIG-In=2500A 4p F F</t>
  </si>
  <si>
    <t>E4H 4000 PR111/P-LSI-In=4000A 4p F F</t>
  </si>
  <si>
    <t>E4H 4000 PR111/P-LSI-In=4000A 4p F HR</t>
  </si>
  <si>
    <t>E4H 4000 PR111/P-LSI-In=4000A 4p F VR</t>
  </si>
  <si>
    <t>E4H 4000 PR112/P-LSIG-In=4000A 4p F F</t>
  </si>
  <si>
    <t>E4H 4000 PR112/P-LSIG-In=4000A 4p F HR</t>
  </si>
  <si>
    <t>E4H 4000 PR112/P-LSIG-In=4000A 4p F VR</t>
  </si>
  <si>
    <t>E3S 2500 PR111/P-LI-In=2500A 4p F VR</t>
  </si>
  <si>
    <t>E3S 2500 PR111/P-LSIG-In=2500A 4p F F</t>
  </si>
  <si>
    <t>E3S 2500 PR111/P-LSIG-In=2500A 4p F HR</t>
  </si>
  <si>
    <t>E3S 2500 PR111/P-LSIG-In=2500A 4p F VR</t>
  </si>
  <si>
    <t>E4H 3200 PR111/P-LSIG-In=3200A 4p W MP</t>
  </si>
  <si>
    <t>E4H 3200 PR111/P-LSI-In=3200A 4p W MP</t>
  </si>
  <si>
    <t>E4H 3200 PR112/P-LSIG-In=3200A 4p W MP</t>
  </si>
  <si>
    <t>E4H 3200 PR112/P-LSI-In=3200A 4p W MP</t>
  </si>
  <si>
    <t>E2L 1250 PR111/P-LI-In=1250A 4p F F</t>
  </si>
  <si>
    <t>E2L 1250 PR111/P-LI-In=1250A 4p F HR</t>
  </si>
  <si>
    <t>E2L 1250 PR111/P-LI-In=1250A 4p F VR</t>
  </si>
  <si>
    <t>E2L 1250 PR111/P-LSIG-In=1250A 4p F F</t>
  </si>
  <si>
    <t>E2L 1250 PR111/P-LSIG-In=1250A 4p F HR</t>
  </si>
  <si>
    <t>E2L 1250 PR111/P-LSIG-In=1250A 4p F VR</t>
  </si>
  <si>
    <t>E2L 1250 PR111/P-LSI-In=1250A 4p F F</t>
  </si>
  <si>
    <t>E2L 1250 PR111/P-LSI-In=1250A 4p F HR</t>
  </si>
  <si>
    <t>E4H 4000 PR112/P-LSIG-In=4000A 4p W MP</t>
  </si>
  <si>
    <t>E4H 4000 PR112/P-LSI-In=4000A 4p W MP</t>
  </si>
  <si>
    <t>E6V 3200 PR111/P-LI-In=3200A 3p F F</t>
  </si>
  <si>
    <t>E6V</t>
  </si>
  <si>
    <t>E6V 3200 PR111/P-LI-In=3200A 3p F HR</t>
  </si>
  <si>
    <t>E6V 3200 PR111/P-LI-In=3200A 3p F VR</t>
  </si>
  <si>
    <t>E6V 3200 PR111/P-LSIG-In=3200A 3p F F</t>
  </si>
  <si>
    <t>E6V 3200 PR111/P-LSIG-In=3200A 3p F HR</t>
  </si>
  <si>
    <t>E6V 3200 PR111/P-LSIG-In=3200A 3p F VR</t>
  </si>
  <si>
    <t>E6V 3200 PR111/P-LSI-In=3200A 3p F F</t>
  </si>
  <si>
    <t>E6V 3200 PR111/P-LSI-In=3200A 3p F HR</t>
  </si>
  <si>
    <t>E6V 3200 PR111/P-LSI-In=3200A 3p F VR</t>
  </si>
  <si>
    <t>E4S 4000 PR112/P-LSIG-In=4000A 4p F HR</t>
  </si>
  <si>
    <t>E4S 4000 PR112/P-LSIG-In=4000A 4p F VR</t>
  </si>
  <si>
    <t>E3H 3200 PR111/P-LSIG-In=3200A 4p F HR</t>
  </si>
  <si>
    <t>E3H 3200 PR111/P-LSIG-In=3200A 4p F VR</t>
  </si>
  <si>
    <t>1SDA041939R0001</t>
  </si>
  <si>
    <t>1SDA041909R0001</t>
  </si>
  <si>
    <t>1SDA041924R0001</t>
  </si>
  <si>
    <t>1SDA041943R0001</t>
  </si>
  <si>
    <t>1SDA041913R0001</t>
  </si>
  <si>
    <t>1SDA041928R0001</t>
  </si>
  <si>
    <t>1SDA041941R0001</t>
  </si>
  <si>
    <t>1SDA041911R0001</t>
  </si>
  <si>
    <t>E2N 2000 PR111/P-LI-In=2000A 3p W MP</t>
  </si>
  <si>
    <t>E2N 2000 PR111/P-LSIG-In=2000A 3p W MP</t>
  </si>
  <si>
    <t>E6V 5000 PR112/P-LSIG-In=5000A 3p F VR</t>
  </si>
  <si>
    <t>E6V 5000 PR112/P-LSI-In=5000A 3p F F</t>
  </si>
  <si>
    <t>E6V 5000 PR112/P-LSI-In=5000A 3p F HR</t>
  </si>
  <si>
    <t>E6V 5000 PR112/P-LSI-In=5000A 3p F VR</t>
  </si>
  <si>
    <t>E6H 6300 PR111/P-LI-In=6300A 3p F F</t>
  </si>
  <si>
    <t>E6H 6300 PR111/P-LI-In=6300A 3p F HR</t>
  </si>
  <si>
    <t>E6H 6300 PR111/P-LI-In=6300A 3p F VR</t>
  </si>
  <si>
    <t>1SDA042955R0001</t>
  </si>
  <si>
    <t>1SDA042966R0001</t>
  </si>
  <si>
    <t>1SDA042950R0001</t>
  </si>
  <si>
    <t>1SDA042958R0001</t>
  </si>
  <si>
    <t>1SDA042965R0001</t>
  </si>
  <si>
    <t>1SDA042949R0001</t>
  </si>
  <si>
    <t>1SDA042957R0001</t>
  </si>
  <si>
    <t>1SDA043069R0001</t>
  </si>
  <si>
    <t>1SDA043039R0001</t>
  </si>
  <si>
    <t>1SDA043054R0001</t>
  </si>
  <si>
    <t>1SDA043073R0001</t>
  </si>
  <si>
    <t>1SDA043043R0001</t>
  </si>
  <si>
    <t>1SDA043058R0001</t>
  </si>
  <si>
    <t>1SDA043071R0001</t>
  </si>
  <si>
    <t>1SDA043041R0001</t>
  </si>
  <si>
    <t>1SDA043056R0001</t>
  </si>
  <si>
    <t>1SDA043077R0001</t>
  </si>
  <si>
    <t>1SDA043047R0001</t>
  </si>
  <si>
    <t>1SDA043062R0001</t>
  </si>
  <si>
    <t>1SDA043075R0001</t>
  </si>
  <si>
    <t>1SDA043045R0001</t>
  </si>
  <si>
    <t>1SDA043060R0001</t>
  </si>
  <si>
    <t>1SDA042765R0001</t>
  </si>
  <si>
    <t>1SDA042735R0001</t>
  </si>
  <si>
    <t>1SDA042750R0001</t>
  </si>
  <si>
    <t>1SDA042769R0001</t>
  </si>
  <si>
    <t>1SDA042739R0001</t>
  </si>
  <si>
    <t>1SDA042754R0001</t>
  </si>
  <si>
    <t>1SDA042767R0001</t>
  </si>
  <si>
    <t>1SDA042737R0001</t>
  </si>
  <si>
    <t>1SDA050771R0001</t>
  </si>
  <si>
    <t>E6H 5000/F PR112/P-LSIG-In=5000A 4P F HR</t>
  </si>
  <si>
    <t>1SDA052766R0001</t>
  </si>
  <si>
    <t>E6H 5000/F PR113/P-LSIG-In=5000A 4P F HR</t>
  </si>
  <si>
    <t>1SDA050788R0001</t>
  </si>
  <si>
    <t>E6H 6300/F PR111/P-LI-In=6300A 4P F HR</t>
  </si>
  <si>
    <t>1SDA050789R0001</t>
  </si>
  <si>
    <t>E6H 6300/F PR111/P-LSI-In=6300A 4P F HR</t>
  </si>
  <si>
    <t>1SDA050790R0001</t>
  </si>
  <si>
    <t>E6H 6300/F PR111/P-LSIG-In=6300A 4P F HR</t>
  </si>
  <si>
    <t>1SDA050791R0001</t>
  </si>
  <si>
    <t>E6H 6300/F PR112/P-LSI-In=6300A 4P F HR</t>
  </si>
  <si>
    <t>1SDA050792R0001</t>
  </si>
  <si>
    <t>E6H 6300/F PR112/P-LSIG-In=6300A 4P F HR</t>
  </si>
  <si>
    <t>1SDA052767R0001</t>
  </si>
  <si>
    <t>E6H 6300/F PR113/P-LSIG-In=6300A 4P F HR</t>
  </si>
  <si>
    <t>1SDA050781R0001</t>
  </si>
  <si>
    <t>E6H 5000/F PR111/P-LI-In=5000A 4P W MP</t>
  </si>
  <si>
    <t>1SDA050782R0001</t>
  </si>
  <si>
    <t>E6H 5000/F PR111/P-LSI-In=5000A 4P W MP</t>
  </si>
  <si>
    <t>1SDA050783R0001</t>
  </si>
  <si>
    <t>E6H 5000/F PR111/P-LSIG-In=5000A 4P W MP</t>
  </si>
  <si>
    <t>1SDA050784R0001</t>
  </si>
  <si>
    <t>E6H 5000/F PR112/P-LSI-In=5000A 4P W MP</t>
  </si>
  <si>
    <t>1SDA050785R0001</t>
  </si>
  <si>
    <t>E6H 5000/F PR112/P-LSIG-In=5000A 4P W MP</t>
  </si>
  <si>
    <t>1SDA052801R0001</t>
  </si>
  <si>
    <t>E6H 5000/F PR113/P-LSIG-In=5000A 4P W MP</t>
  </si>
  <si>
    <t>1SDA050803R0001</t>
  </si>
  <si>
    <t>E2B 2000 PR111/P-LSI-In=2000A 3p W MP</t>
  </si>
  <si>
    <t>E2B 2000 PR112/P-LSIG-In=2000A 3p W MP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</si>
  <si>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</si>
  <si>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</si>
  <si>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</si>
  <si>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</si>
  <si>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</si>
  <si>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</si>
  <si>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</si>
  <si>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</si>
  <si>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</si>
  <si>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</si>
  <si>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</si>
  <si>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</si>
  <si>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</si>
  <si>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</si>
  <si>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</si>
  <si>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</si>
  <si>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</si>
  <si>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</si>
  <si>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</si>
  <si>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</si>
  <si>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</si>
  <si>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</si>
  <si>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</si>
  <si>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</si>
  <si>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</si>
  <si>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</si>
  <si>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</si>
  <si>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</si>
  <si>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</si>
  <si>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U01</t>
  </si>
  <si>
    <t>M1</t>
  </si>
  <si>
    <t>M2</t>
  </si>
  <si>
    <t>M3</t>
  </si>
  <si>
    <t>E2N 2000 PR111/P-LSI-In=2000A 3p W MP</t>
  </si>
  <si>
    <t>E2N 2000 PR112/P-LSIG-In=2000A 3p W MP</t>
  </si>
  <si>
    <t>E2N 2000 PR112/P-LSI-In=2000A 3p W MP</t>
  </si>
  <si>
    <t>E2N 1250 PR111/P-LI-In=1250A 4p F F</t>
  </si>
  <si>
    <t>E6V 6300 PR111/P-LI-In=6300A 4p W MP</t>
  </si>
  <si>
    <t>E6V 6300 PR111/P-LSIG-In=6300A 4p W MP</t>
  </si>
  <si>
    <t>E6V 6300 PR111/P-LSI-In=6300A 4p W MP</t>
  </si>
  <si>
    <t>E6V 6300 PR112/P-LSIG-In=6300A 4p W MP</t>
  </si>
  <si>
    <t>E6V 6300 PR112/P-LSI-In=6300A 4p W MP</t>
  </si>
  <si>
    <t>E1 W FP 3p F-F</t>
  </si>
  <si>
    <t>-</t>
  </si>
  <si>
    <t>E1 W FP 3p FL-FL</t>
  </si>
  <si>
    <t>E1 W FP 3p HR-HR</t>
  </si>
  <si>
    <t>E1 W FP 3p VR-VR</t>
  </si>
  <si>
    <t>E2N 1250 PR111/P-LSI-In=1250A 4p F VR</t>
  </si>
  <si>
    <t>E2N 1250 PR112/P-LSIG-In=1250A 4p F F</t>
  </si>
  <si>
    <t>E2N 1250 PR112/P-LSIG-In=1250A 4p F HR</t>
  </si>
  <si>
    <t>E2N 1250 PR112/P-LSIG-In=1250A 4p F VR</t>
  </si>
  <si>
    <t>E2N 1250 PR112/P-LSI-In=1250A 4p F F</t>
  </si>
  <si>
    <t>E2N 1250 PR112/P-LSI-In=1250A 4p F HR</t>
  </si>
  <si>
    <t>E2N 1250 PR112/P-LSI-In=1250A 4p F VR</t>
  </si>
  <si>
    <t>E2 W FP 4p VR-VR</t>
  </si>
  <si>
    <t>E3 W FP 3p F-F</t>
  </si>
  <si>
    <t>E3 W FP 3p FL-FL</t>
  </si>
  <si>
    <t>E3 W FP 3p HR-HR</t>
  </si>
  <si>
    <t>E3 W FP 3p VR-VR</t>
  </si>
  <si>
    <t>E3 W FP 4p F-F</t>
  </si>
  <si>
    <t>E3 W FP 4p FL-FL</t>
  </si>
  <si>
    <t>E3 W FP 4p HR-HR</t>
  </si>
  <si>
    <t>E3 W FP 4p VR-VR</t>
  </si>
  <si>
    <t>E4 W FP 3p F-F</t>
  </si>
  <si>
    <t>E4 W FP 3p FL-FL</t>
  </si>
  <si>
    <t>E4 W FP 3p HR-HR</t>
  </si>
  <si>
    <t>E4 W FP 3p VR-VR</t>
  </si>
  <si>
    <t>E2L 1250 PR111/P-LSI-In=1250A 4p F VR</t>
  </si>
  <si>
    <t>E2L 1250 PR112/P-LSIG-In=1250A 4p F F</t>
  </si>
  <si>
    <t>E2L 1250 PR112/P-LSIG-In=1250A 4p F HR</t>
  </si>
  <si>
    <t>E2L 1250 PR112/P-LSIG-In=1250A 4p F VR</t>
  </si>
  <si>
    <t>E2L 1250 PR112/P-LSI-In=1250A 4p F F</t>
  </si>
  <si>
    <t>E2L 1250 PR112/P-LSI-In=1250A 4p F HR</t>
  </si>
  <si>
    <t>E2L 1250 PR112/P-LSI-In=1250A 4p F VR</t>
  </si>
  <si>
    <t>E2B 1600 PR111/P-LI-In=1600A 4p F F</t>
  </si>
  <si>
    <t>E2B 1600 PR111/P-LI-In=1600A 4p F HR</t>
  </si>
  <si>
    <t>E2B 1600 PR111/P-LI-In=1600A 4p F VR</t>
  </si>
  <si>
    <t>E2B 1600 PR111/P-LSIG-In=1600A 4p F F</t>
  </si>
  <si>
    <t>E2B 1600 PR111/P-LSIG-In=1600A 4p F HR</t>
  </si>
  <si>
    <t>E2B 1600 PR111/P-LSIG-In=1600A 4p F VR</t>
  </si>
  <si>
    <t>E2B 1600 PR111/P-LSI-In=1600A 4p F F</t>
  </si>
  <si>
    <t>E2B 1600 PR111/P-LSI-In=1600A 4p F HR</t>
  </si>
  <si>
    <t>E2B 1600 PR111/P-LSI-In=1600A 4p F VR</t>
  </si>
  <si>
    <t>E2B 1600 PR112/P-LSIG-In=1600A 4p F F</t>
  </si>
  <si>
    <t>E2B 1600 PR112/P-LSIG-In=1600A 4p F HR</t>
  </si>
  <si>
    <t>E2B 1600 PR112/P-LSIG-In=1600A 4p F VR</t>
  </si>
  <si>
    <t>E2B 1600 PR112/P-LSI-In=1600A 4p F F</t>
  </si>
  <si>
    <t>E2B 1600 PR112/P-LSI-In=1600A 4p F HR</t>
  </si>
  <si>
    <t>E2B 1600 PR112/P-LSI-In=1600A 4p F VR</t>
  </si>
  <si>
    <t>E2N 1600 PR111/P-LI-In=1600A 4p F F</t>
  </si>
  <si>
    <t>E2N 1600 PR111/P-LI-In=1600A 4p F HR</t>
  </si>
  <si>
    <t>E2N 1600 PR111/P-LI-In=1600A 4p F VR</t>
  </si>
  <si>
    <t>E2N 1600 PR111/P-LSIG-In=1600A 4p F F</t>
  </si>
  <si>
    <t>E2N 1600 PR111/P-LSIG-In=1600A 4p F HR</t>
  </si>
  <si>
    <t>1SDA041857R0001</t>
  </si>
  <si>
    <t>1SDA041872R0001</t>
  </si>
  <si>
    <t>1SDA041885R0001</t>
  </si>
  <si>
    <t>1SDA041855R0001</t>
  </si>
  <si>
    <t>1SDA041870R0001</t>
  </si>
  <si>
    <t>1SDA042239R0001</t>
  </si>
  <si>
    <t>1SDA042209R0001</t>
  </si>
  <si>
    <t>1SDA042224R0001</t>
  </si>
  <si>
    <t>1SDA042243R0001</t>
  </si>
  <si>
    <t>1SDA042213R0001</t>
  </si>
  <si>
    <t>1SDA042228R0001</t>
  </si>
  <si>
    <t>1SDA042241R0001</t>
  </si>
  <si>
    <t>1SDA042211R0001</t>
  </si>
  <si>
    <t>1SDA042226R0001</t>
  </si>
  <si>
    <t>1SDA042247R0001</t>
  </si>
  <si>
    <t>1SDA042217R0001</t>
  </si>
  <si>
    <t>1SDA042232R0001</t>
  </si>
  <si>
    <t>E3H 1600 PR112/P-LSIG-In=1600A 4p W MP</t>
  </si>
  <si>
    <t>E3H 1600 PR112/P-LSI-In=1600A 4p W MP</t>
  </si>
  <si>
    <t>E2N 1600 PR111/P-LSIG-In=1600A 4p F VR</t>
  </si>
  <si>
    <t>E2N 1600 PR111/P-LSI-In=1600A 4p F F</t>
  </si>
  <si>
    <t>E2N 1600 PR111/P-LSI-In=1600A 4p F HR</t>
  </si>
  <si>
    <t>E2N 1600 PR111/P-LSI-In=1600A 4p F VR</t>
  </si>
  <si>
    <t>E2N 1600 PR112/P-LSIG-In=1600A 4p F F</t>
  </si>
  <si>
    <t>E2N 1600 PR112/P-LSIG-In=1600A 4p F HR</t>
  </si>
  <si>
    <t>E2N 1600 PR112/P-LSIG-In=1600A 4p F VR</t>
  </si>
  <si>
    <t>E2N 1600 PR112/P-LSI-In=1600A 4p F F</t>
  </si>
  <si>
    <t>E2N 1600 PR112/P-LSI-In=1600A 4p F HR</t>
  </si>
  <si>
    <t>E2N 1600 PR112/P-LSI-In=1600A 4p F VR</t>
  </si>
  <si>
    <t>E2L 1600 PR111/P-LI-In=1600A 4p F F</t>
  </si>
  <si>
    <t>E2L 1600 PR111/P-LI-In=1600A 4p F HR</t>
  </si>
  <si>
    <t>E2L 1600 PR111/P-LI-In=1600A 4p F VR</t>
  </si>
  <si>
    <t>E2L 1600 PR111/P-LSIG-In=1600A 4p F F</t>
  </si>
  <si>
    <t>E2L 1600 PR111/P-LSIG-In=1600A 4p F HR</t>
  </si>
  <si>
    <t>E2L 1600 PR111/P-LSIG-In=1600A 4p F VR</t>
  </si>
  <si>
    <t>E2L 1600 PR111/P-LSI-In=1600A 4p F F</t>
  </si>
  <si>
    <t>E2L 1600 PR111/P-LSI-In=1600A 4p F HR</t>
  </si>
  <si>
    <t>E2L 1600 PR111/P-LSI-In=1600A 4p F VR</t>
  </si>
  <si>
    <t>E2L 1600 PR112/P-LSIG-In=1600A 4p F F</t>
  </si>
  <si>
    <t>E2L 1600 PR112/P-LSIG-In=1600A 4p F HR</t>
  </si>
  <si>
    <t>E2L 1600 PR112/P-LSIG-In=1600A 4p F VR</t>
  </si>
  <si>
    <t>E2L 1600 PR112/P-LSI-In=1600A 4p F F</t>
  </si>
  <si>
    <t>E2L 1600 PR112/P-LSI-In=1600A 4p F HR</t>
  </si>
  <si>
    <t>E2L 1600 PR112/P-LSI-In=1600A 4p F VR</t>
  </si>
  <si>
    <t>E2B 2000 PR111/P-LI-In=2000A 4p F F</t>
  </si>
  <si>
    <t>E2B 2000 PR111/P-LI-In=2000A 4p F HR</t>
  </si>
  <si>
    <t>E2B 2000 PR111/P-LI-In=2000A 4p F VR</t>
  </si>
  <si>
    <t>E2B 2000 PR111/P-LSIG-In=2000A 4p F F</t>
  </si>
  <si>
    <t>E2B 2000 PR111/P-LSIG-In=2000A 4p F HR</t>
  </si>
  <si>
    <t>E2B 2000 PR111/P-LSIG-In=2000A 4p F VR</t>
  </si>
  <si>
    <t>E2B 2000 PR111/P-LSI-In=2000A 4p F F</t>
  </si>
  <si>
    <t>E2B 2000 PR111/P-LSI-In=2000A 4p F HR</t>
  </si>
  <si>
    <t>E2B 2000 PR111/P-LSI-In=2000A 4p F VR</t>
  </si>
  <si>
    <t>E2B 2000 PR112/P-LSIG-In=2000A 4p F F</t>
  </si>
  <si>
    <t>E2B 2000 PR112/P-LSIG-In=2000A 4p F HR</t>
  </si>
  <si>
    <t>E2B 2000 PR112/P-LSIG-In=2000A 4p F VR</t>
  </si>
  <si>
    <t>E2B 2000 PR112/P-LSI-In=2000A 4p F F</t>
  </si>
  <si>
    <t>E2B 2000 PR112/P-LSI-In=2000A 4p F HR</t>
  </si>
  <si>
    <t>E2B 2000 PR112/P-LSI-In=2000A 4p F VR</t>
  </si>
  <si>
    <t>E2N 2000 PR111/P-LI-In=2000A 4p F F</t>
  </si>
  <si>
    <t>E2N 2000 PR111/P-LI-In=2000A 4p F HR</t>
  </si>
  <si>
    <t>E2 W FP 3p FL-FL</t>
  </si>
  <si>
    <t>E2 W FP 3p HR-HR</t>
  </si>
  <si>
    <t>E2 W FP 3p VR-VR</t>
  </si>
  <si>
    <t>E2 W FP 4p F-F</t>
  </si>
  <si>
    <t>E2 W FP 4p FL-FL</t>
  </si>
  <si>
    <t>E2 W FP 4p HR-HR</t>
  </si>
  <si>
    <t>E3S 2500 PR112/P-LSI-In=2500A 3p F VR</t>
  </si>
  <si>
    <t>E3H 2500 PR111/P-LI-In=2500A 3p F F</t>
  </si>
  <si>
    <t>E3H 2500 PR111/P-LI-In=2500A 3p F HR</t>
  </si>
  <si>
    <t>E3H 2500 PR111/P-LI-In=2500A 3p F VR</t>
  </si>
  <si>
    <t>E3H 2500 PR111/P-LSIG-In=2500A 3p F F</t>
  </si>
  <si>
    <t>E3H 2500 PR111/P-LSIG-In=2500A 3p F HR</t>
  </si>
  <si>
    <t>E3H 2500 PR111/P-LSIG-In=2500A 3p F VR</t>
  </si>
  <si>
    <t>E2N 2000 PR111/P-LSI-In=2000A 4p F HR</t>
  </si>
  <si>
    <t>E2N 2000 PR111/P-LSI-In=2000A 4p F VR</t>
  </si>
  <si>
    <t>E2N 2000 PR112/P-LSIG-In=2000A 4p F F</t>
  </si>
  <si>
    <t>E2N 2000 PR112/P-LSIG-In=2000A 4p F HR</t>
  </si>
  <si>
    <t>E2N 2000 PR112/P-LSIG-In=2000A 4p F VR</t>
  </si>
  <si>
    <t>E2N 2000 PR112/P-LSI-In=2000A 4p F F</t>
  </si>
  <si>
    <t>E2N 2000 PR112/P-LSI-In=2000A 4p F HR</t>
  </si>
  <si>
    <t>E2N 2000 PR112/P-LSI-In=2000A 4p F VR</t>
  </si>
  <si>
    <t>E2N 1250 PR111/P-LI-In=1250A 4p W MP</t>
  </si>
  <si>
    <t>E2N 1250 PR111/P-LSIG-In=1250A 4p W MP</t>
  </si>
  <si>
    <t>E2N 1250 PR111/P-LSI-In=1250A 4p W MP</t>
  </si>
  <si>
    <t>E2N 1250 PR112/P-LSIG-In=1250A 4p W MP</t>
  </si>
  <si>
    <t>E2N 1250 PR112/P-LSI-In=1250A 4p W MP</t>
  </si>
  <si>
    <t>E2L 1250 PR111/P-LI-In=1250A 4p W MP</t>
  </si>
  <si>
    <t>E2L 1250 PR111/P-LSIG-In=1250A 4p W MP</t>
  </si>
  <si>
    <t>E2L 1250 PR111/P-LSI-In=1250A 4p W MP</t>
  </si>
  <si>
    <t>E2L 1250 PR112/P-LSIG-In=1250A 4p W MP</t>
  </si>
  <si>
    <t>E2L 1250 PR112/P-LSI-In=1250A 4p W MP</t>
  </si>
  <si>
    <t>E2B 1600 PR111/P-LI-In=1600A 4p W MP</t>
  </si>
  <si>
    <t>E2B 1600 PR111/P-LSIG-In=1600A 4p W MP</t>
  </si>
  <si>
    <t>E2B 1600 PR111/P-LSI-In=1600A 4p W MP</t>
  </si>
  <si>
    <t>E2B 1600 PR112/P-LSIG-In=1600A 4p W MP</t>
  </si>
  <si>
    <t>E2B 1600 PR112/P-LSI-In=1600A 4p W MP</t>
  </si>
  <si>
    <t>E2N 1600 PR111/P-LI-In=1600A 4p W MP</t>
  </si>
  <si>
    <t>E2N 1600 PR111/P-LSIG-In=1600A 4p W MP</t>
  </si>
  <si>
    <t>1SDA041553R0001</t>
  </si>
  <si>
    <t>1SDA041568R0001</t>
  </si>
  <si>
    <t>1SDA041581R0001</t>
  </si>
  <si>
    <t>1SDA041551R0001</t>
  </si>
  <si>
    <t>1SDA041566R0001</t>
  </si>
  <si>
    <t>1SDA041587R0001</t>
  </si>
  <si>
    <t>1SDA041557R0001</t>
  </si>
  <si>
    <t>1SDA041572R0001</t>
  </si>
  <si>
    <t>1SDA041585R0001</t>
  </si>
  <si>
    <t>1SDA041555R0001</t>
  </si>
  <si>
    <t>1SDA041570R0001</t>
  </si>
  <si>
    <t>1SDA041099R0001</t>
  </si>
  <si>
    <t>1SDA041069R0001</t>
  </si>
  <si>
    <t>1SDA041084R0001</t>
  </si>
  <si>
    <t>1SDA041103R0001</t>
  </si>
  <si>
    <t>1SDA041073R0001</t>
  </si>
  <si>
    <t>1SDA041088R0001</t>
  </si>
  <si>
    <t>1SDA041101R0001</t>
  </si>
  <si>
    <t>1SDA041071R0001</t>
  </si>
  <si>
    <t>1SDA041086R0001</t>
  </si>
  <si>
    <t>1SDA041107R0001</t>
  </si>
  <si>
    <t>1SDA041077R0001</t>
  </si>
  <si>
    <t>1SDA041092R0001</t>
  </si>
  <si>
    <t>1SDA041105R0001</t>
  </si>
  <si>
    <t>1SDA041075R0001</t>
  </si>
  <si>
    <t>1SDA041090R0001</t>
  </si>
  <si>
    <t>1SDA041699R0001</t>
  </si>
  <si>
    <t>1SDA041669R0001</t>
  </si>
  <si>
    <t>1SDA041684R0001</t>
  </si>
  <si>
    <t>1SDA041703R0001</t>
  </si>
  <si>
    <t>1SDA041673R0001</t>
  </si>
  <si>
    <t>1SDA041688R0001</t>
  </si>
  <si>
    <t>1SDA041701R0001</t>
  </si>
  <si>
    <t>1SDA041671R0001</t>
  </si>
  <si>
    <t>1SDA041686R0001</t>
  </si>
  <si>
    <t>1SDA041707R0001</t>
  </si>
  <si>
    <t>1SDA041677R0001</t>
  </si>
  <si>
    <t>1SDA041692R0001</t>
  </si>
  <si>
    <t>1SDA041705R0001</t>
  </si>
  <si>
    <t>1SDA041675R0001</t>
  </si>
  <si>
    <t>1SDA041690R0001</t>
  </si>
  <si>
    <t>1SDA041219R0001</t>
  </si>
  <si>
    <t>1SDA041189R0001</t>
  </si>
  <si>
    <t>1SDA041204R0001</t>
  </si>
  <si>
    <t>1SDA041223R0001</t>
  </si>
  <si>
    <t>1SDA041193R0001</t>
  </si>
  <si>
    <t>1SDA041208R0001</t>
  </si>
  <si>
    <t>1SDA041221R0001</t>
  </si>
  <si>
    <t>1SDA041191R0001</t>
  </si>
  <si>
    <t>1SDA041206R0001</t>
  </si>
  <si>
    <t>1SDA041227R0001</t>
  </si>
  <si>
    <t>1SDA041197R0001</t>
  </si>
  <si>
    <t>1SDA041212R0001</t>
  </si>
  <si>
    <t>1SDA041225R0001</t>
  </si>
  <si>
    <t>1SDA041195R0001</t>
  </si>
  <si>
    <t>1SDA041210R0001</t>
  </si>
  <si>
    <t>1SDA041819R0001</t>
  </si>
  <si>
    <t>1SDA052927R0001</t>
  </si>
  <si>
    <t>E2B 2000 PR112/P-LSI-In=2000A 3p F HR</t>
  </si>
  <si>
    <t>E2B 2000 PR112/P-LSI-In=2000A 3p F VR</t>
  </si>
  <si>
    <t>E2N 2000 PR111/P-LI-In=2000A 3p F F</t>
  </si>
  <si>
    <t>1SDA041810R0001</t>
  </si>
  <si>
    <t>1SDA042179R0001</t>
  </si>
  <si>
    <t>1SDA042149R0001</t>
  </si>
  <si>
    <t>1SDA042164R0001</t>
  </si>
  <si>
    <t>1SDA042183R0001</t>
  </si>
  <si>
    <t>1SDA042153R0001</t>
  </si>
  <si>
    <t>1SDA042168R0001</t>
  </si>
  <si>
    <t>1SDA042181R0001</t>
  </si>
  <si>
    <t>1SDA042151R0001</t>
  </si>
  <si>
    <t>1SDA042166R0001</t>
  </si>
  <si>
    <t>1SDA042187R0001</t>
  </si>
  <si>
    <t>1SDA042157R0001</t>
  </si>
  <si>
    <t>1SDA042172R0001</t>
  </si>
  <si>
    <t>1SDA042185R0001</t>
  </si>
  <si>
    <t>1SDA042155R0001</t>
  </si>
  <si>
    <t>1SDA042170R0001</t>
  </si>
  <si>
    <t>1SDA040739R0001</t>
  </si>
  <si>
    <t>1SDA040709R0001</t>
  </si>
  <si>
    <t>1SDA040724R0001</t>
  </si>
  <si>
    <t>1SDA040743R0001</t>
  </si>
  <si>
    <t>1SDA040713R0001</t>
  </si>
  <si>
    <t>1SDA040728R0001</t>
  </si>
  <si>
    <t>1SDA040741R0001</t>
  </si>
  <si>
    <t>1SDA040711R0001</t>
  </si>
  <si>
    <t>1SDA040726R0001</t>
  </si>
  <si>
    <t>1SDA040747R0001</t>
  </si>
  <si>
    <t>1SDA040717R0001</t>
  </si>
  <si>
    <t>1SDA040732R0001</t>
  </si>
  <si>
    <t>1SDA040745R0001</t>
  </si>
  <si>
    <t>1SDA040715R0001</t>
  </si>
  <si>
    <t>1SDA040730R0001</t>
  </si>
  <si>
    <t>1SDA041339R0001</t>
  </si>
  <si>
    <t>1SDA041309R0001</t>
  </si>
  <si>
    <t>1SDA041324R0001</t>
  </si>
  <si>
    <t>1SDA041343R0001</t>
  </si>
  <si>
    <t>1SDA041313R0001</t>
  </si>
  <si>
    <t>1SDA041328R0001</t>
  </si>
  <si>
    <t>1SDA041341R0001</t>
  </si>
  <si>
    <t>1SDA041311R0001</t>
  </si>
  <si>
    <t>1SDA041326R0001</t>
  </si>
  <si>
    <t>1SDA041347R0001</t>
  </si>
  <si>
    <t>1SDA041317R0001</t>
  </si>
  <si>
    <t>1SDA041332R0001</t>
  </si>
  <si>
    <t>1SDA041345R0001</t>
  </si>
  <si>
    <t>1SDA041315R0001</t>
  </si>
  <si>
    <t>1SDA041330R0001</t>
  </si>
  <si>
    <t>1SDA037881R0001</t>
  </si>
  <si>
    <t>1SDA037902R0001</t>
  </si>
  <si>
    <t>1SDA037831R0001</t>
  </si>
  <si>
    <t>1SDA037836R0001</t>
  </si>
  <si>
    <t>1SDA037841R0001</t>
  </si>
  <si>
    <t>1SDA037846R0001</t>
  </si>
  <si>
    <t>1SDA037851R0001</t>
  </si>
  <si>
    <t>1SDA037856R0001</t>
  </si>
  <si>
    <t>1SDA037862R0001</t>
  </si>
  <si>
    <t>1SDA037867R0001</t>
  </si>
  <si>
    <t>1SDA037932R0001</t>
  </si>
  <si>
    <t>1SDA037892R0001</t>
  </si>
  <si>
    <t>1SDA037897R0001</t>
  </si>
  <si>
    <t>1SDA037967R0001</t>
  </si>
  <si>
    <t>1SDA037907R0001</t>
  </si>
  <si>
    <t>1SDA037912R0001</t>
  </si>
  <si>
    <t>1SDA037917R0001</t>
  </si>
  <si>
    <t>1SDA037937R0001</t>
  </si>
  <si>
    <t>1SDA037942R0001</t>
  </si>
  <si>
    <t>1SDA037947R0001</t>
  </si>
  <si>
    <t>1SDA037952R0001</t>
  </si>
  <si>
    <t>1SDA037957R0001</t>
  </si>
  <si>
    <t>1SDA037962R0001</t>
  </si>
  <si>
    <t>1SDA037887R0001</t>
  </si>
  <si>
    <t>1SDA037938R0001</t>
  </si>
  <si>
    <t>1SDA037918R0001</t>
  </si>
  <si>
    <t>1SDA037888R0001</t>
  </si>
  <si>
    <t>1SDA037963R0001</t>
  </si>
  <si>
    <t>1SDA037893R0001</t>
  </si>
  <si>
    <t>1SDA037898R0001</t>
  </si>
  <si>
    <t>1SDA037903R0001</t>
  </si>
  <si>
    <t>1SDA037868R0001</t>
  </si>
  <si>
    <t>1SDA037913R0001</t>
  </si>
  <si>
    <t>1SDA037882R0001</t>
  </si>
  <si>
    <t>1SDA037933R0001</t>
  </si>
  <si>
    <t>1SDA037943R0001</t>
  </si>
  <si>
    <t>1SDA037953R0001</t>
  </si>
  <si>
    <t>1SDA037948R0001</t>
  </si>
  <si>
    <t>1SDA037958R0001</t>
  </si>
  <si>
    <t>1SDA037968R0001</t>
  </si>
  <si>
    <t>1SDA037908R0001</t>
  </si>
  <si>
    <t>1SDA037857R0001</t>
  </si>
  <si>
    <t>1SDA037863R0001</t>
  </si>
  <si>
    <t>1SDA037852R0001</t>
  </si>
  <si>
    <t>E3H 1250 PR113/P-LSIG-In=1250A 3P W MP</t>
  </si>
  <si>
    <t>1SDA052716R0001</t>
  </si>
  <si>
    <t>E3S 1600 PR113/P-LSIG-In=1600A 3P W MP</t>
  </si>
  <si>
    <t>1SDA052721R0001</t>
  </si>
  <si>
    <t>E3H 1600 PR113/P-LSIG-In=1600A 3P W MP</t>
  </si>
  <si>
    <t>1SDA052717R0001</t>
  </si>
  <si>
    <t>E3S 2000 PR113/P-LSIG-In=2000A 3P W MP</t>
  </si>
  <si>
    <t>1SDA052722R0001</t>
  </si>
  <si>
    <t>E3H 2000 PR113/P-LSIG-In=2000A 3P W MP</t>
  </si>
  <si>
    <t>1SDA052725R0001</t>
  </si>
  <si>
    <t>E3L 2000 PR113/P-LSIG-In=2000A 3P W MP</t>
  </si>
  <si>
    <t>1SDA052713R0001</t>
  </si>
  <si>
    <t>E3N 2500 PR113/P-LSIG-In=2500A 3P W MP</t>
  </si>
  <si>
    <t>1SDA052718R0001</t>
  </si>
  <si>
    <t>E3S 2500 PR113/P-LSIG-In=2500A 3P W MP</t>
  </si>
  <si>
    <t>1SDA052723R0001</t>
  </si>
  <si>
    <t>1SDA037865R0001</t>
  </si>
  <si>
    <t>1SDA037859R0001</t>
  </si>
  <si>
    <t>1SDA037854R0001</t>
  </si>
  <si>
    <t>1SDA037910R0001</t>
  </si>
  <si>
    <t>1SDA037849R0001</t>
  </si>
  <si>
    <t>1SDA037844R0001</t>
  </si>
  <si>
    <t>1SDA037839R0001</t>
  </si>
  <si>
    <t>1SDA037834R0001</t>
  </si>
  <si>
    <t>1SDA037945R0001</t>
  </si>
  <si>
    <t>1SDA037970R0001</t>
  </si>
  <si>
    <t>1SDA037965R0001</t>
  </si>
  <si>
    <t>1SDA037960R0001</t>
  </si>
  <si>
    <t>1SDA037955R0001</t>
  </si>
  <si>
    <t>1SDA037905R0001</t>
  </si>
  <si>
    <t>1SDA037940R0001</t>
  </si>
  <si>
    <t>1SDA037915R0001</t>
  </si>
  <si>
    <t>1SDA037950R0001</t>
  </si>
  <si>
    <t>1SDA037920R0001</t>
  </si>
  <si>
    <t>1SDA037935R0001</t>
  </si>
  <si>
    <t>1SDA037871R0001</t>
  </si>
  <si>
    <t>1SDA037885R0001</t>
  </si>
  <si>
    <t>1SDA037891R0001</t>
  </si>
  <si>
    <t>1SDA037896R0001</t>
  </si>
  <si>
    <t>1SDA037866R0001</t>
  </si>
  <si>
    <t>1SDA037901R0001</t>
  </si>
  <si>
    <t>1SDA037850R0001</t>
  </si>
  <si>
    <t>1SDA037906R0001</t>
  </si>
  <si>
    <t>1SDA037860R0001</t>
  </si>
  <si>
    <t>1SDA037845R0001</t>
  </si>
  <si>
    <t>1SDA037840R0001</t>
  </si>
  <si>
    <t>E3S 2500  PR113/P-LSIG-In=2500A 4P F HR</t>
  </si>
  <si>
    <t>1SDA052755R0001</t>
  </si>
  <si>
    <t>E3H 2500  PR113/P-LSIG-In=2500A 4P F HR</t>
  </si>
  <si>
    <t>1SDA052759R0001</t>
  </si>
  <si>
    <t>E3L 2500  PR113/P-LSIG-In=2500A 4P F HR</t>
  </si>
  <si>
    <t>1SDA052746R0001</t>
  </si>
  <si>
    <t>E3N 3200  PR113/P-LSIG-In=3200A 4P F HR</t>
  </si>
  <si>
    <t>1SDA052751R0001</t>
  </si>
  <si>
    <t>E3S 3200  PR113/P-LSIG-In=3200A 4P F HR</t>
  </si>
  <si>
    <t>1SDA052756R0001</t>
  </si>
  <si>
    <t>E3H 3200  PR113/P-LSIG-In=3200A 4P F HR</t>
  </si>
  <si>
    <t>1SDA052783R0001</t>
  </si>
  <si>
    <t>E3S 1250  PR113/P-LSIG-In=1250A 4P W MP</t>
  </si>
  <si>
    <t>1SDA052788R0001</t>
  </si>
  <si>
    <t>E3H 1250  PR113/P-LSIG-In=1250A 4P W MP</t>
  </si>
  <si>
    <t>1SDA052784R0001</t>
  </si>
  <si>
    <t>E3S 1600  PR113/P-LSIG-In=1600A 4P W MP</t>
  </si>
  <si>
    <t>1SDA052789R0001</t>
  </si>
  <si>
    <t>E3H 1600  PR113/P-LSIG-In=1600A 4P W MP</t>
  </si>
  <si>
    <t>1SDA052785R0001</t>
  </si>
  <si>
    <t>E3S 2000  PR113/P-LSIG-In=2000A 4P W MP</t>
  </si>
  <si>
    <t>1SDA052790R0001</t>
  </si>
  <si>
    <t>E3H 2000  PR113/P-LSIG-In=2000A 4P W MP</t>
  </si>
  <si>
    <t>1SDA052793R0001</t>
  </si>
  <si>
    <t>E3L 2000  PR113/P-LSIG-In=2000A 4P W MP</t>
  </si>
  <si>
    <t>1SDA052781R0001</t>
  </si>
  <si>
    <t>E3N 2500  PR113/P-LSIG-In=2500A 4P W MP</t>
  </si>
  <si>
    <t>1SDA052786R0001</t>
  </si>
  <si>
    <t>E3S 2500  PR113/P-LSIG-In=2500A 4P W MP</t>
  </si>
  <si>
    <t>1SDA052791R0001</t>
  </si>
  <si>
    <t>E3H 2500  PR113/P-LSIG-In=2500A 4P W MP</t>
  </si>
  <si>
    <t>1SDA052794R0001</t>
  </si>
  <si>
    <t>E3L 2500  PR113/P-LSIG-In=2500A 4P W MP</t>
  </si>
  <si>
    <t>1SDA052782R0001</t>
  </si>
  <si>
    <t>E3N 3200  PR113/P-LSIG-In=3200A 4P W MP</t>
  </si>
  <si>
    <t>1SDA052787R0001</t>
  </si>
  <si>
    <t>E3S 3200  PR113/P-LSIG-In=3200A 4P W MP</t>
  </si>
  <si>
    <t>1SDA052792R0001</t>
  </si>
  <si>
    <t>E3H 3200  PR113/P-LSIG-In=3200A 4P W MP</t>
  </si>
  <si>
    <t>1SDA052696R0001</t>
  </si>
  <si>
    <t>E4H 3200 PR113/P-LSIG-In=3200A 3P F HR</t>
  </si>
  <si>
    <t>1SDA052695R0001</t>
  </si>
  <si>
    <t>E4S 4000 PR113/P-LSIG-In=4000A 3P F HR</t>
  </si>
  <si>
    <t>1SDA052697R0001</t>
  </si>
  <si>
    <t>E4H 4000 PR113/P-LSIG-In=4000A 3P F HR</t>
  </si>
  <si>
    <t>1SDA052728R0001</t>
  </si>
  <si>
    <t>E4H 3200 PR113/P-LSIG-In=3200A 3P W MP</t>
  </si>
  <si>
    <t>1SDA052727R0001</t>
  </si>
  <si>
    <t>E4S 4000 PR113/P-LSIG-In=4000A 3P W MP</t>
  </si>
  <si>
    <t>1SDA052729R0001</t>
  </si>
  <si>
    <t>E4H 4000 PR113/P-LSIG-In=4000A 3P W MP</t>
  </si>
  <si>
    <t>1SDA052762R0001</t>
  </si>
  <si>
    <t>E4H 3200  PR113/P-LSIG-In=3200A 4P F HR</t>
  </si>
  <si>
    <t>1SDA052760R0001</t>
  </si>
  <si>
    <t>E4S 4000  PR113/P-LSIG-In=4000A 4P F HR</t>
  </si>
  <si>
    <t>1SDA052763R0001</t>
  </si>
  <si>
    <t>E4H 4000  PR113/P-LSIG-In=4000A 4P F HR</t>
  </si>
  <si>
    <t>1SDA052797R0001</t>
  </si>
  <si>
    <t>E4H 3200  PR113/P-LSIG-In=3200A 4P W MP</t>
  </si>
  <si>
    <t>1SDA052795R0001</t>
  </si>
  <si>
    <t>E4S 4000  PR113/P-LSIG-In=4000A 4P W MP</t>
  </si>
  <si>
    <t>1SDA052798R0001</t>
  </si>
  <si>
    <t>E4H 4000  PR113/P-LSIG-In=4000A 4P W MP</t>
  </si>
  <si>
    <t>1SDA052700R0001</t>
  </si>
  <si>
    <t>E6V 3200 PR113/P-LSIG-In=3200A 3P F HR</t>
  </si>
  <si>
    <t>1SDA052701R0001</t>
  </si>
  <si>
    <t>E6V 4000 PR113/P-LSIG-In=4000A 3P F HR</t>
  </si>
  <si>
    <t>1SDA052698R0001</t>
  </si>
  <si>
    <t>E6H 5000 PR113/P-LSIG-In=5000A 3P F HR</t>
  </si>
  <si>
    <t>1SDA052702R0001</t>
  </si>
  <si>
    <t>E6V 5000 PR113/P-LSIG-In=5000A 3P F HR</t>
  </si>
  <si>
    <t>1SDA052699R0001</t>
  </si>
  <si>
    <t>E6H 6300 PR113/P-LSIG-In=6300A 3P F HR</t>
  </si>
  <si>
    <t>1SDA052703R0001</t>
  </si>
  <si>
    <t>E6V 6300 PR113/P-LSIG-In=6300A 3P F HR</t>
  </si>
  <si>
    <t>1SDA052732R0001</t>
  </si>
  <si>
    <t>E6V 3200 PR113/P-LSIG-In=3200A 3P W MP</t>
  </si>
  <si>
    <t>1SDA052733R0001</t>
  </si>
  <si>
    <t>E6V 4000 PR113/P-LSIG-In=4000A 3P W MP</t>
  </si>
  <si>
    <t>1SDA052730R0001</t>
  </si>
  <si>
    <t>E6H 5000 PR113/P-LSIG-In=5000A 3P W MP</t>
  </si>
  <si>
    <t>1SDA052734R0001</t>
  </si>
  <si>
    <t>E6V 5000 PR113/P-LSIG-In=5000A 3P W MP</t>
  </si>
  <si>
    <t>1SDA052731R0001</t>
  </si>
  <si>
    <t>E6H 6300 PR113/P-LSIG-In=6300A 3P W MP</t>
  </si>
  <si>
    <t>1SDA052735R0001</t>
  </si>
  <si>
    <t>E6V 6300 PR113/P-LSIG-In=6300A 3P W MP</t>
  </si>
  <si>
    <t>1SDA052768R0001</t>
  </si>
  <si>
    <t>E6V 3200  PR113/P-LSIG-In=3200A 4P F HR</t>
  </si>
  <si>
    <t>1SDA052769R0001</t>
  </si>
  <si>
    <t>E6V 4000  PR113/P-LSIG-In=4000A 4P F HR</t>
  </si>
  <si>
    <t>1SDA052764R0001</t>
  </si>
  <si>
    <t>E6H 5000  PR113/P-LSIG-In=5000A 4P F HR</t>
  </si>
  <si>
    <t>1SDA052770R0001</t>
  </si>
  <si>
    <t>E6V 5000  PR113/P-LSIG-In=5000A 4P F HR</t>
  </si>
  <si>
    <t>1SDA052765R0001</t>
  </si>
  <si>
    <t>E6H 6300  PR113/P-LSIG-In=6300A 4P F HR</t>
  </si>
  <si>
    <t>1SDA052771R0001</t>
  </si>
  <si>
    <t>E6V 6300  PR113/P-LSIG-In=6300A 4P F HR</t>
  </si>
  <si>
    <t>1SDA052803R0001</t>
  </si>
  <si>
    <t>E6V 3200  PR113/P-LSIG-In=3200A 4P W MP</t>
  </si>
  <si>
    <t>1SDA052804R0001</t>
  </si>
  <si>
    <t>E6V 4000  PR113/P-LSIG-In=4000A 4P W MP</t>
  </si>
  <si>
    <t>1SDA052799R0001</t>
  </si>
  <si>
    <t>E6H 5000  PR113/P-LSIG-In=5000A 4P W MP</t>
  </si>
  <si>
    <t>1SDA052805R0001</t>
  </si>
  <si>
    <t>E6V 5000  PR113/P-LSIG-In=5000A 4P W MP</t>
  </si>
  <si>
    <t>1SDA052800R0001</t>
  </si>
  <si>
    <t>E6H 6300  PR113/P-LSIG-In=6300A 4P W MP</t>
  </si>
  <si>
    <t>1SDA052806R0001</t>
  </si>
  <si>
    <t>E6V 6300  PR113/P-LSIG-In=6300A 4P W MP</t>
  </si>
  <si>
    <t>1SDA053803R0001</t>
  </si>
  <si>
    <t>E1N/MS  800  3p F HR</t>
  </si>
  <si>
    <t xml:space="preserve">E1N/MS </t>
  </si>
  <si>
    <t>1SDA053805R0001</t>
  </si>
  <si>
    <t>E1N/MS 1250  3p F HR</t>
  </si>
  <si>
    <t>1SDA053807R0001</t>
  </si>
  <si>
    <t>E1N/MS  800  3p W MP</t>
  </si>
  <si>
    <t>1SDA053809R0001</t>
  </si>
  <si>
    <t>E1N/MS 1250  3p W MP</t>
  </si>
  <si>
    <t>1SDA053804R0001</t>
  </si>
  <si>
    <t>E1N/MS  800  4p F HR</t>
  </si>
  <si>
    <t>1SDA053806R0001</t>
  </si>
  <si>
    <t>E1N/MS 1250  4p F HR</t>
  </si>
  <si>
    <t>1SDA053808R0001</t>
  </si>
  <si>
    <t>E1N/MS  800  4p W MP</t>
  </si>
  <si>
    <t>1SDA053810R0001</t>
  </si>
  <si>
    <t>E1N/MS 1250  4p W MP</t>
  </si>
  <si>
    <t>HR-F.</t>
  </si>
  <si>
    <t>VR-F.</t>
  </si>
  <si>
    <t>FL-F.</t>
  </si>
  <si>
    <t>E6 W FP 4p F-HR</t>
  </si>
  <si>
    <t>E6 W FP 4p F-FL</t>
  </si>
  <si>
    <t>E6 W FP 4p F-VR</t>
  </si>
  <si>
    <t>E6 W FP 3p F-FL</t>
  </si>
  <si>
    <t>E6 W FP 3p F-VR</t>
  </si>
  <si>
    <t>1SDA042292R0001</t>
  </si>
  <si>
    <t>1SDA042305R0001</t>
  </si>
  <si>
    <t>1SDA042275R0001</t>
  </si>
  <si>
    <t>1SDA042290R0001</t>
  </si>
  <si>
    <t>1SDA040859R0001</t>
  </si>
  <si>
    <t>1SDA043373R0001</t>
  </si>
  <si>
    <t>1SDA040844R0001</t>
  </si>
  <si>
    <t>1SDA040863R0001</t>
  </si>
  <si>
    <t>1SDA043377R0001</t>
  </si>
  <si>
    <t>1SDA040848R0001</t>
  </si>
  <si>
    <t>1SDA040861R0001</t>
  </si>
  <si>
    <t>1SDA043375R0001</t>
  </si>
  <si>
    <t>E3S 2500 PR111/P-LSI-In=2500A 4p F F</t>
  </si>
  <si>
    <t>E3S 2500 PR111/P-LSI-In=2500A 4p F HR</t>
  </si>
  <si>
    <t>E3S 2500 PR111/P-LSI-In=2500A 4p F VR</t>
  </si>
  <si>
    <t>E3S 2500 PR112/P-LSIG-In=2500A 4p F F</t>
  </si>
  <si>
    <t>E4S 4000 PR111/P-LI-In=4000A 4p W MP</t>
  </si>
  <si>
    <t>E4S 4000 PR111/P-LSIG-In=4000A 4p W MP</t>
  </si>
  <si>
    <t>E4S 4000 PR111/P-LSI-In=4000A 4p W MP</t>
  </si>
  <si>
    <t>E4S 4000 PR112/P-LSIG-In=4000A 4p W MP</t>
  </si>
  <si>
    <t>1SDA037721R0001</t>
  </si>
  <si>
    <t>1SDA037722R0001</t>
  </si>
  <si>
    <t>1SDA037733R0001</t>
  </si>
  <si>
    <t>1SDA037734R0001</t>
  </si>
  <si>
    <t>1SDA037735R0001</t>
  </si>
  <si>
    <t>1SDA037736R0001</t>
  </si>
  <si>
    <t>1SDA037738R0001</t>
  </si>
  <si>
    <t>1SDA037739R0001</t>
  </si>
  <si>
    <t>1SDA037740R0001</t>
  </si>
  <si>
    <t>1SDA037741R0001</t>
  </si>
  <si>
    <t>1SDA037742R0001</t>
  </si>
  <si>
    <t>E3N/MS 3200  3p W MP</t>
  </si>
  <si>
    <t>E3N/MS 2500  3p W MP</t>
  </si>
  <si>
    <t>E3S/MS 1250  3p W MP</t>
  </si>
  <si>
    <t>E3S/MS 2000  3p W MP</t>
  </si>
  <si>
    <t>E3S/MS 3200  3p W MP</t>
  </si>
  <si>
    <t>E3S/MS 1600  3p W MP</t>
  </si>
  <si>
    <t>E3S/MS 2500  3p W MP</t>
  </si>
  <si>
    <t>E3S/MS 2500  4p W MP</t>
  </si>
  <si>
    <t>E3S/MS 3200  4p W MP</t>
  </si>
  <si>
    <t>E3S/MS 1250  4p W MP</t>
  </si>
  <si>
    <t>E3S/MS 1600  4p W MP</t>
  </si>
  <si>
    <t>E3S/MS 2000  4p W MP</t>
  </si>
  <si>
    <t>E4S/MS 4000  3p W MP</t>
  </si>
  <si>
    <t>E4S/MS 4000  4p W MP</t>
  </si>
  <si>
    <t>E4H/MS 3200  4p W MP</t>
  </si>
  <si>
    <t>E4H/MS 4000  4p W MP</t>
  </si>
  <si>
    <t>E4H/MS 4000  3p W MP</t>
  </si>
  <si>
    <t>E4H/MS 3200  3p W MP</t>
  </si>
  <si>
    <t>E6H/MS 5000  3p W MP</t>
  </si>
  <si>
    <t>E6H/MS 6300  3p W MP</t>
  </si>
  <si>
    <t>E6H/MS 6300  4p W MP</t>
  </si>
  <si>
    <t>E6H/MS 5000  4p W MP</t>
  </si>
  <si>
    <t>E1B/MS  800  4p F F</t>
  </si>
  <si>
    <t>E1B/MS 1250  4p F F</t>
  </si>
  <si>
    <t>E1B/MS 1250  3p F F</t>
  </si>
  <si>
    <t>E1B/MS  800  3p F F</t>
  </si>
  <si>
    <t>E2B/MS 1600  3p F F</t>
  </si>
  <si>
    <t>E2B/MS 2000  3p F F</t>
  </si>
  <si>
    <t>E2B/MS 2000  4p F F</t>
  </si>
  <si>
    <t>E2B/MS 1600  4p F F</t>
  </si>
  <si>
    <t>E2N/MS 1250  4p F F</t>
  </si>
  <si>
    <t>E2N/MS 1600  4p F F</t>
  </si>
  <si>
    <t>E2N/MS 2000  4p F F</t>
  </si>
  <si>
    <t>E2N/MS 2000  3p F F</t>
  </si>
  <si>
    <t>E2N/MS 1600  3p F F</t>
  </si>
  <si>
    <t>E2N/MS 1250  3p F F</t>
  </si>
  <si>
    <t>E3N/MS 2500  3p F F</t>
  </si>
  <si>
    <t>E3N/MS 3200  3p F F</t>
  </si>
  <si>
    <t>E3N/MS 3200  4p F F</t>
  </si>
  <si>
    <t>E3N/MS 2500  4p F F</t>
  </si>
  <si>
    <t>E3S/MS 1250  4p F F</t>
  </si>
  <si>
    <t>E3S/MS 1600  4p F F</t>
  </si>
  <si>
    <t>E3S/MS 2000  4p F F</t>
  </si>
  <si>
    <t>E3S/MS 2500  4p F F</t>
  </si>
  <si>
    <t>E3S/MS 3200  4p F F</t>
  </si>
  <si>
    <t>E3S/MS 3200  3p F F</t>
  </si>
  <si>
    <t>E3S/MS 2500  3p F F</t>
  </si>
  <si>
    <t>E3S/MS 2000  3p F F</t>
  </si>
  <si>
    <t>E3N 2500 PR111/P-LSIG-In=2500A 3p F F</t>
  </si>
  <si>
    <t>E3N 2500 PR111/P-LSIG-In=2500A 3p F HR</t>
  </si>
  <si>
    <t>E3N 2500 PR111/P-LSIG-In=2500A 3p F VR</t>
  </si>
  <si>
    <t>E3N 2500 PR111/P-LSI-In=2500A 3p F F</t>
  </si>
  <si>
    <t>E3N 2500 PR111/P-LSI-In=2500A 3p F HR</t>
  </si>
  <si>
    <t>E3N 2500 PR111/P-LSI-In=2500A 3p F VR</t>
  </si>
  <si>
    <t>E3N 2500 PR112/P-LSIG-In=2500A 3p F F</t>
  </si>
  <si>
    <t>E3N 2500 PR112/P-LSIG-In=2500A 3p F HR</t>
  </si>
  <si>
    <t>E3N 2500 PR112/P-LSIG-In=2500A 3p F VR</t>
  </si>
  <si>
    <t>E3N 2500 PR112/P-LSI-In=2500A 3p F F</t>
  </si>
  <si>
    <t>E3N 2500 PR112/P-LSI-In=2500A 3p F HR</t>
  </si>
  <si>
    <t>j</t>
  </si>
  <si>
    <t>v</t>
  </si>
  <si>
    <t>p</t>
  </si>
  <si>
    <t>E3H 1250 PR111/P-LSI-In=1250A 4p F F</t>
  </si>
  <si>
    <t>E3H 1250 PR111/P-LSI-In=1250A 4p F HR</t>
  </si>
  <si>
    <t>E3H 1250 PR111/P-LSI-In=1250A 4p F VR</t>
  </si>
  <si>
    <t>E3H 1250 PR112/P-LSIG-In=1250A 4p F F</t>
  </si>
  <si>
    <t>E3H 1250 PR112/P-LSIG-In=1250A 4p F HR</t>
  </si>
  <si>
    <t>E3H 1250 PR112/P-LSIG-In=1250A 4p F VR</t>
  </si>
  <si>
    <t>E3H 1250 PR112/P-LSI-In=1250A 4p F F</t>
  </si>
  <si>
    <t>E3H 1250 PR112/P-LSI-In=1250A 4p F HR</t>
  </si>
  <si>
    <t>E3H 1250 PR112/P-LSI-In=1250A 4p F VR</t>
  </si>
  <si>
    <t>E3S 1600 PR111/P-LI-In=1600A 4p F F</t>
  </si>
  <si>
    <t>E3S 1600 PR111/P-LI-In=1600A 4p F HR</t>
  </si>
  <si>
    <t>E3S 1600 PR111/P-LI-In=1600A 4p F VR</t>
  </si>
  <si>
    <t>E3S 1600 PR111/P-LSIG-In=1600A 4p F F</t>
  </si>
  <si>
    <t>E3S 1600 PR111/P-LSIG-In=1600A 4p F HR</t>
  </si>
  <si>
    <t>E3S 1600 PR111/P-LSIG-In=1600A 4p F VR</t>
  </si>
  <si>
    <t>E3S 1600 PR111/P-LSI-In=1600A 4p F F</t>
  </si>
  <si>
    <t>E3S 1600 PR111/P-LSI-In=1600A 4p F HR</t>
  </si>
  <si>
    <t>E3S 1600 PR111/P-LSI-In=1600A 4p F VR</t>
  </si>
  <si>
    <t>E3S 1600 PR112/P-LSIG-In=1600A 4p F F</t>
  </si>
  <si>
    <t>E3S 1600 PR112/P-LSIG-In=1600A 4p F HR</t>
  </si>
  <si>
    <t>E3S 1600 PR112/P-LSIG-In=1600A 4p F VR</t>
  </si>
  <si>
    <t>E3S 1600 PR112/P-LSI-In=1600A 4p F F</t>
  </si>
  <si>
    <t>E3S 1600 PR112/P-LSI-In=1600A 4p F HR</t>
  </si>
  <si>
    <t>E3S 1600 PR112/P-LSI-In=1600A 4p F VR</t>
  </si>
  <si>
    <t>E3H 2500 PR111/P-LSI-In=2500A 3p F F</t>
  </si>
  <si>
    <t>E4 W FP 4p F-F</t>
  </si>
  <si>
    <t>E4 W FP 4p FL-FL</t>
  </si>
  <si>
    <t>E4 W FP 4p HR-HR</t>
  </si>
  <si>
    <t>E4 W FP 4p VR-VR</t>
  </si>
  <si>
    <t>E6 W FP 3p F-F</t>
  </si>
  <si>
    <t>E6 W FP 3p FL-FL</t>
  </si>
  <si>
    <t>E6 W FP 3p HR-HR</t>
  </si>
  <si>
    <t>E6 W FP 3p VR-VR</t>
  </si>
  <si>
    <t>E6 W FP 4p F-F</t>
  </si>
  <si>
    <t>E6 W FP 4p FL-FL</t>
  </si>
  <si>
    <t>E6 W FP 4p HR-HR</t>
  </si>
  <si>
    <t>E6 W FP 4p VR-VR</t>
  </si>
  <si>
    <t>x</t>
  </si>
  <si>
    <t>E3L 2500 PR111/P-LI-In=2500A 3p F F</t>
  </si>
  <si>
    <t>E3L 2500 PR111/P-LI-In=2500A 3p F HR</t>
  </si>
  <si>
    <t>E3L 2500 PR111/P-LI-In=2500A 3p F VR</t>
  </si>
  <si>
    <t>E3L 2500 PR111/P-LSIG-In=2500A 3p F F</t>
  </si>
  <si>
    <t>E3L 2500 PR111/P-LSIG-In=2500A 3p F HR</t>
  </si>
  <si>
    <t>E3N 3200 PR112/P-LSI-In=3200A 3p F HR</t>
  </si>
  <si>
    <t>E3N 3200 PR112/P-LSI-In=3200A 3p F VR</t>
  </si>
  <si>
    <t>E3S 3200 PR111/P-LI-In=3200A 3p F F</t>
  </si>
  <si>
    <t>E6V 3200 PR112/P-LSI-In=3200A 4p F HR</t>
  </si>
  <si>
    <t>E6V 3200 PR112/P-LSI-In=3200A 4p F VR</t>
  </si>
  <si>
    <t>E6V 4000 PR111/P-LI-In=4000A 4p F F</t>
  </si>
  <si>
    <t>E6V 4000 PR111/P-LI-In=4000A 4p F HR</t>
  </si>
  <si>
    <t>E3S 3200 PR111/P-LSI-In=3200A 3p F VR</t>
  </si>
  <si>
    <t>E3S 3200 PR112/P-LSIG-In=3200A 3p F F</t>
  </si>
  <si>
    <t>E3S 3200 PR112/P-LSIG-In=3200A 3p F HR</t>
  </si>
  <si>
    <t>E3S 3200 PR112/P-LSIG-In=3200A 3p F VR</t>
  </si>
  <si>
    <t>E3S 3200 PR112/P-LSI-In=3200A 3p F F</t>
  </si>
  <si>
    <t>dialog</t>
  </si>
  <si>
    <t>horní svorky</t>
  </si>
  <si>
    <t>dolní svorky</t>
  </si>
  <si>
    <t>Dialog:</t>
  </si>
  <si>
    <t>spoušť:</t>
  </si>
  <si>
    <t>ochrana:</t>
  </si>
  <si>
    <t>Svorky mix.:</t>
  </si>
  <si>
    <t>dolní:</t>
  </si>
  <si>
    <t>Horní:</t>
  </si>
  <si>
    <t>!</t>
  </si>
  <si>
    <t>Velikost:</t>
  </si>
  <si>
    <t>Póly:</t>
  </si>
  <si>
    <t>E3H 3200 PR111/P-LSIG-In=3200A 3p F VR</t>
  </si>
  <si>
    <t>E3H 3200 PR111/P-LSI-In=3200A 3p F F</t>
  </si>
  <si>
    <t>E3H 3200 PR111/P-LSI-In=3200A 3p F HR</t>
  </si>
  <si>
    <t>E3H 3200 PR111/P-LSI-In=3200A 3p F VR</t>
  </si>
  <si>
    <t>E3H 3200 PR112/P-LSIG-In=3200A 3p F F</t>
  </si>
  <si>
    <t>E3H 3200 PR112/P-LSIG-In=3200A 3p F HR</t>
  </si>
  <si>
    <t>E3H 3200 PR112/P-LSIG-In=3200A 3p F VR</t>
  </si>
  <si>
    <t>E3H 3200 PR112/P-LSI-In=3200A 3p F F</t>
  </si>
  <si>
    <t>E3H 3200 PR112/P-LSI-In=3200A 3p F HR</t>
  </si>
  <si>
    <t>E3H 3200 PR112/P-LSI-In=3200A 3p F VR</t>
  </si>
  <si>
    <t>E3S 1250 PR111/P-LI-In=1250A 3p W MP</t>
  </si>
  <si>
    <t>E3S 1250 PR111/P-LSIG-In=1250A 3p W MP</t>
  </si>
  <si>
    <t>E3S 1250 PR111/P-LSI-In=1250A 3p W MP</t>
  </si>
  <si>
    <t>E3S 1250 PR112/P-LSIG-In=1250A 3p W MP</t>
  </si>
  <si>
    <t>E3S 1250 PR112/P-LSI-In=1250A 3p W MP</t>
  </si>
  <si>
    <t>E3H 1250 PR111/P-LI-In=1250A 3p W MP</t>
  </si>
  <si>
    <t>E3H 1250 PR111/P-LSIG-In=1250A 3p W MP</t>
  </si>
  <si>
    <t>E3H 1250 PR111/P-LSI-In=1250A 3p W MP</t>
  </si>
  <si>
    <t>E3H 1250 PR112/P-LSIG-In=1250A 3p W MP</t>
  </si>
  <si>
    <t>E2B 2000 PR111/P-LI-In=2000A 4p W MP</t>
  </si>
  <si>
    <t>E2B 2000 PR111/P-LSIG-In=2000A 4p W MP</t>
  </si>
  <si>
    <t>E2B 2000 PR111/P-LSI-In=2000A 4p W MP</t>
  </si>
  <si>
    <t>E2B 2000 PR112/P-LSIG-In=2000A 4p W MP</t>
  </si>
  <si>
    <t>E2B 2000 PR112/P-LSI-In=2000A 4p W MP</t>
  </si>
  <si>
    <t>B5</t>
  </si>
  <si>
    <t>X</t>
  </si>
  <si>
    <t>D</t>
  </si>
  <si>
    <t>R1</t>
  </si>
  <si>
    <t>R2</t>
  </si>
  <si>
    <t>C</t>
  </si>
  <si>
    <t>PC1</t>
  </si>
  <si>
    <t>PC2</t>
  </si>
  <si>
    <t>PC3</t>
  </si>
  <si>
    <t>PC4</t>
  </si>
  <si>
    <t>E6H 6300 PR111/P-LSIG-In=6300A 3p F F</t>
  </si>
  <si>
    <t>E6H 6300 PR111/P-LSIG-In=6300A 3p F HR</t>
  </si>
  <si>
    <t>E6H 6300 PR111/P-LSIG-In=6300A 3p F VR</t>
  </si>
  <si>
    <t>E6H 6300 PR111/P-LSI-In=6300A 3p F F</t>
  </si>
  <si>
    <t>1SDA037743R0001</t>
  </si>
  <si>
    <t>1SDA037752R0001</t>
  </si>
  <si>
    <t>1SDA037753R0001</t>
  </si>
  <si>
    <t>1SDA037754R0001</t>
  </si>
  <si>
    <t>1SDA037755R0001</t>
  </si>
  <si>
    <t>1SDA037756R0001</t>
  </si>
  <si>
    <t>1SDA037757R0001</t>
  </si>
  <si>
    <t>1SDA037758R0001</t>
  </si>
  <si>
    <t>1SDA037759R0001</t>
  </si>
  <si>
    <t>1SDA037760R0001</t>
  </si>
  <si>
    <t>1SDA037761R0001</t>
  </si>
  <si>
    <t>1SDA037762R0001</t>
  </si>
  <si>
    <t>E6V 4000 PR111/P-LI-In=4000A 4p F VR</t>
  </si>
  <si>
    <t>E6V 4000 PR111/P-LSIG-In=4000A 4p F F</t>
  </si>
  <si>
    <t>E6V 4000 PR111/P-LSIG-In=4000A 4p F HR</t>
  </si>
  <si>
    <t>E6V 4000 PR111/P-LSIG-In=4000A 4p F VR</t>
  </si>
  <si>
    <t>E6V 4000 PR111/P-LSI-In=4000A 4p F F</t>
  </si>
  <si>
    <t>E6V 4000 PR111/P-LSI-In=4000A 4p F HR</t>
  </si>
  <si>
    <t>E6V 4000 PR111/P-LSI-In=4000A 4p F VR</t>
  </si>
  <si>
    <t>Mechanická signalizace vypnutí spouští</t>
  </si>
  <si>
    <t>Počitadlo sepnutí</t>
  </si>
  <si>
    <t>Zámek vypnuté polohy</t>
  </si>
  <si>
    <t>Kryt ovládacích tlačítek</t>
  </si>
  <si>
    <t>Blokování clon pevné části</t>
  </si>
  <si>
    <t>1SDA043251R0001</t>
  </si>
  <si>
    <t>1SDA043221R0001</t>
  </si>
  <si>
    <t>1SDA043236R0001</t>
  </si>
  <si>
    <t>1SDA043257R0001</t>
  </si>
  <si>
    <t>1SDA043227R0001</t>
  </si>
  <si>
    <t>1SDA043242R0001</t>
  </si>
  <si>
    <t>1SDA043255R0001</t>
  </si>
  <si>
    <t>1SDA043225R0001</t>
  </si>
  <si>
    <t>1SDA043240R0001</t>
  </si>
  <si>
    <t>1SDA042938R0001</t>
  </si>
  <si>
    <t>1SDA042940R0001</t>
  </si>
  <si>
    <t>1SDA042939R0001</t>
  </si>
  <si>
    <t>1SDA042942R0001</t>
  </si>
  <si>
    <t>1SDA042941R0001</t>
  </si>
  <si>
    <t>1SDA043024R0001</t>
  </si>
  <si>
    <t>1SDA043028R0001</t>
  </si>
  <si>
    <t>1SDA043026R0001</t>
  </si>
  <si>
    <t>1SDA043032R0001</t>
  </si>
  <si>
    <t>1SDA043030R0001</t>
  </si>
  <si>
    <t>1SDA042720R0001</t>
  </si>
  <si>
    <t>120…127</t>
  </si>
  <si>
    <t>220…230</t>
  </si>
  <si>
    <t xml:space="preserve">10x kontakt signalizace zas./vys./test. polohy </t>
  </si>
  <si>
    <t>240…250</t>
  </si>
  <si>
    <t>380…400</t>
  </si>
  <si>
    <t>1SDA043197R0001</t>
  </si>
  <si>
    <t>1SDA043167R0001</t>
  </si>
  <si>
    <t>1SDA043182R0001</t>
  </si>
  <si>
    <t>1SDA043195R0001</t>
  </si>
  <si>
    <t>1SDA043165R0001</t>
  </si>
  <si>
    <t>1SDA043180R0001</t>
  </si>
  <si>
    <t>1SDA042885R0001</t>
  </si>
  <si>
    <t>1SDA042855R0001</t>
  </si>
  <si>
    <t>1SDA042870R0001</t>
  </si>
  <si>
    <t>1SDA042889R0001</t>
  </si>
  <si>
    <t>1SDA042859R0001</t>
  </si>
  <si>
    <t>1SDA042874R0001</t>
  </si>
  <si>
    <t>1SDA042887R0001</t>
  </si>
  <si>
    <t>1SDA042857R0001</t>
  </si>
  <si>
    <t>1SDA042872R0001</t>
  </si>
  <si>
    <t>1SDA042893R0001</t>
  </si>
  <si>
    <t>1SDA042863R0001</t>
  </si>
  <si>
    <t>1SDA042878R0001</t>
  </si>
  <si>
    <t>1SDA042891R0001</t>
  </si>
  <si>
    <t>1SDA042861R0001</t>
  </si>
  <si>
    <t>1SDA042876R0001</t>
  </si>
  <si>
    <t>1SDA043432R0001</t>
  </si>
  <si>
    <t>1SDA043279R0001</t>
  </si>
  <si>
    <t>1SDA043294R0001</t>
  </si>
  <si>
    <t>1SDA043436R0001</t>
  </si>
  <si>
    <t>1SDA043283R0001</t>
  </si>
  <si>
    <t>1SDA043298R0001</t>
  </si>
  <si>
    <t>1SDA043434R0001</t>
  </si>
  <si>
    <t>1SDA043281R0001</t>
  </si>
  <si>
    <t>1SDA043296R0001</t>
  </si>
  <si>
    <t>1SDA043440R0001</t>
  </si>
  <si>
    <t>1SDA043287R0001</t>
  </si>
  <si>
    <t>1SDA043302R0001</t>
  </si>
  <si>
    <t>1SDA043438R0001</t>
  </si>
  <si>
    <t>1SDA043285R0001</t>
  </si>
  <si>
    <t>1SDA043300R0001</t>
  </si>
  <si>
    <t>1SDA042970R0001</t>
  </si>
  <si>
    <t>1SDA042972R0001</t>
  </si>
  <si>
    <t>1SDA042971R0001</t>
  </si>
  <si>
    <t>1SDA042974R0001</t>
  </si>
  <si>
    <t>1SDA042973R0001</t>
  </si>
  <si>
    <t>1SDA043084R0001</t>
  </si>
  <si>
    <t>1SDA043088R0001</t>
  </si>
  <si>
    <t>1SDA043086R0001</t>
  </si>
  <si>
    <t>1SDA043092R0001</t>
  </si>
  <si>
    <t>1SDA043090R0001</t>
  </si>
  <si>
    <t>1SDA042780R0001</t>
  </si>
  <si>
    <t>1SDA042784R0001</t>
  </si>
  <si>
    <t>1SDA042782R0001</t>
  </si>
  <si>
    <t>1SDA042788R0001</t>
  </si>
  <si>
    <t>1SDA042786R0001</t>
  </si>
  <si>
    <t>1SDA043204R0001</t>
  </si>
  <si>
    <t>1SDA043208R0001</t>
  </si>
  <si>
    <t>1SDA043206R0001</t>
  </si>
  <si>
    <t>1SDA043212R0001</t>
  </si>
  <si>
    <t>1SDA043210R0001</t>
  </si>
  <si>
    <t>1SDA042900R0001</t>
  </si>
  <si>
    <t>1SDA042904R0001</t>
  </si>
  <si>
    <t>1SDA042902R0001</t>
  </si>
  <si>
    <t>1SDA042908R0001</t>
  </si>
  <si>
    <t>1SDA042906R0001</t>
  </si>
  <si>
    <t>1SDA043309R0001</t>
  </si>
  <si>
    <t>1SDA043313R0001</t>
  </si>
  <si>
    <t>1SDA043311R0001</t>
  </si>
  <si>
    <t>1SDA043317R0001</t>
  </si>
  <si>
    <t>1SDA043315R0001</t>
  </si>
  <si>
    <t>1SDA037922R0001</t>
  </si>
  <si>
    <t>1SDA037972R0001</t>
  </si>
  <si>
    <t>1SDA037821R0001</t>
  </si>
  <si>
    <t>1SDA037872R0001</t>
  </si>
  <si>
    <t>1SDA037927R0001</t>
  </si>
  <si>
    <t>1SDA037977R0001</t>
  </si>
  <si>
    <t>1SDA037826R0001</t>
  </si>
  <si>
    <t>1SDA037877R0001</t>
  </si>
  <si>
    <t>1SDA037923R0001</t>
  </si>
  <si>
    <t>1SDA037973R0001</t>
  </si>
  <si>
    <t>1SDA037822R0001</t>
  </si>
  <si>
    <t>1SDA037873R0001</t>
  </si>
  <si>
    <t>1SDA037928R0001</t>
  </si>
  <si>
    <t>1SDA037978R0001</t>
  </si>
  <si>
    <t>1SDA037827R0001</t>
  </si>
  <si>
    <t>1SDA037886R0001</t>
  </si>
  <si>
    <t>1SDA037924R0001</t>
  </si>
  <si>
    <t>1SDA037974R0001</t>
  </si>
  <si>
    <t>1SDA037823R0001</t>
  </si>
  <si>
    <t>1SDA037874R0001</t>
  </si>
  <si>
    <t>1SDA037929R0001</t>
  </si>
  <si>
    <t>1SDA037979R0001</t>
  </si>
  <si>
    <t>1SDA037828R0001</t>
  </si>
  <si>
    <t>1SDA037878R0001</t>
  </si>
  <si>
    <t>1SDA037925R0001</t>
  </si>
  <si>
    <t>1SDA037975R0001</t>
  </si>
  <si>
    <t>1SDA037824R0001</t>
  </si>
  <si>
    <t>1SDA037875R0001</t>
  </si>
  <si>
    <t>1SDA037930R0001</t>
  </si>
  <si>
    <t>1SDA037980R0001</t>
  </si>
  <si>
    <t>1SDA037829R0001</t>
  </si>
  <si>
    <t>1SDA037879R0001</t>
  </si>
  <si>
    <t>1SDA037926R0001</t>
  </si>
  <si>
    <t>1SDA037976R0001</t>
  </si>
  <si>
    <t>1SDA037825R0001</t>
  </si>
  <si>
    <t>1SDA037876R0001</t>
  </si>
  <si>
    <t>1SDA037931R0001</t>
  </si>
  <si>
    <t>1SDA037981R0001</t>
  </si>
  <si>
    <t>1SDA037830R0001</t>
  </si>
  <si>
    <t>1SDA037880R0001</t>
  </si>
  <si>
    <t>1SDA038394R0001</t>
  </si>
  <si>
    <t>1SDA038287R0001</t>
  </si>
  <si>
    <t>1SDA038288R0001</t>
  </si>
  <si>
    <t>1SDA038289R0001</t>
  </si>
  <si>
    <t>1SDA038290R0001</t>
  </si>
  <si>
    <t>1SDA038291R0001</t>
  </si>
  <si>
    <t>1SDA038292R0001</t>
  </si>
  <si>
    <t>1SDA038293R0001</t>
  </si>
  <si>
    <t>1SDA038294R0001</t>
  </si>
  <si>
    <t>Základna s druhou vypínací cívkou 220/240V</t>
  </si>
  <si>
    <r>
      <t xml:space="preserve">JISTIČ    </t>
    </r>
    <r>
      <rPr>
        <sz val="8"/>
        <rFont val="Arial CE"/>
        <family val="2"/>
      </rPr>
      <t>(2+2 pom. kontakty jako standard)</t>
    </r>
  </si>
  <si>
    <t>1SDA042724R0001</t>
  </si>
  <si>
    <t>1SDA042722R0001</t>
  </si>
  <si>
    <t>1SDA042728R0001</t>
  </si>
  <si>
    <t>1SDA042726R0001</t>
  </si>
  <si>
    <t>1SDA043144R0001</t>
  </si>
  <si>
    <t>1SDA043148R0001</t>
  </si>
  <si>
    <t>1SDA043146R0001</t>
  </si>
  <si>
    <t>1SDA043152R0001</t>
  </si>
  <si>
    <t>1SDA043150R0001</t>
  </si>
  <si>
    <t>1SDA042840R0001</t>
  </si>
  <si>
    <t>1SDA042844R0001</t>
  </si>
  <si>
    <t>1SDA042842R0001</t>
  </si>
  <si>
    <t>1SDA042848R0001</t>
  </si>
  <si>
    <t>1SDA042846R0001</t>
  </si>
  <si>
    <t>1SDA043264R0001</t>
  </si>
  <si>
    <t>1SDA043268R0001</t>
  </si>
  <si>
    <t>1SDA043266R0001</t>
  </si>
  <si>
    <t>1SDA043272R0001</t>
  </si>
  <si>
    <t>1SDA043270R0001</t>
  </si>
  <si>
    <t>15x pomocný kontakt (externí)</t>
  </si>
  <si>
    <t>MECHANICAL LOCK FOR COMPARTMENT DOOR</t>
  </si>
  <si>
    <t>PR110/B Napájecí jednotka</t>
  </si>
  <si>
    <t>E3S/MS 1600  3p F F</t>
  </si>
  <si>
    <t>E3S/MS 1250  3p F F</t>
  </si>
  <si>
    <t>E4S/MS 4000  4p F F</t>
  </si>
  <si>
    <t>E4S/MS 4000  3p F F</t>
  </si>
  <si>
    <t>E4H/MS 3200  4p F F</t>
  </si>
  <si>
    <t>E4H/MS 4000  4p F F</t>
  </si>
  <si>
    <t>E6H/MS 5000  4p F F</t>
  </si>
  <si>
    <t>1SDA039854R0001</t>
  </si>
  <si>
    <t>1SDA039796R0001</t>
  </si>
  <si>
    <t>1SDA039824R0001</t>
  </si>
  <si>
    <t>1SDA039850R0001</t>
  </si>
  <si>
    <t>1SDA039792R0001</t>
  </si>
  <si>
    <t>1SDA039821R0001</t>
  </si>
  <si>
    <t>1SDA039862R0001</t>
  </si>
  <si>
    <t>1SDA039803R0001</t>
  </si>
  <si>
    <t>1SDA039833R0001</t>
  </si>
  <si>
    <t>1SDA039858R0001</t>
  </si>
  <si>
    <t>E3N 2500 PR112/P-LSIG-In=2500A 4p F HR</t>
  </si>
  <si>
    <t>E3N 2500 PR112/P-LSIG-In=2500A 4p F VR</t>
  </si>
  <si>
    <t>E3N 2500 PR112/P-LSI-In=2500A 4p F F</t>
  </si>
  <si>
    <t>E3N 2500 PR112/P-LSI-In=2500A 4p F HR</t>
  </si>
  <si>
    <t>E3N 2500 PR112/P-LSI-In=2500A 4p F VR</t>
  </si>
  <si>
    <t>E3S 2500 PR111/P-LI-In=2500A 4p F F</t>
  </si>
  <si>
    <t>E3S 2500 PR111/P-LI-In=2500A 4p F HR</t>
  </si>
  <si>
    <t>E3H 2500 PR111/P-LSI-In=2500A 3p F HR</t>
  </si>
  <si>
    <t>E3H 2500 PR111/P-LSI-In=2500A 3p F VR</t>
  </si>
  <si>
    <t>E3H 2500 PR112/P-LSIG-In=2500A 3p F F</t>
  </si>
  <si>
    <t>E3H 2500 PR112/P-LSIG-In=2500A 3p F HR</t>
  </si>
  <si>
    <t>E3H 2500 PR112/P-LSIG-In=2500A 3p F VR</t>
  </si>
  <si>
    <t>E3H 2500 PR112/P-LSI-In=2500A 3p F F</t>
  </si>
  <si>
    <t>E3H 2500 PR112/P-LSI-In=2500A 3p F HR</t>
  </si>
  <si>
    <t>E3H 2500 PR112/P-LSI-In=2500A 3p F VR</t>
  </si>
  <si>
    <t>E3S 2500 PR112/P-LSIG-In=2500A 4p F HR</t>
  </si>
  <si>
    <t>E3S 2500 PR112/P-LSIG-In=2500A 4p F VR</t>
  </si>
  <si>
    <t>E3S 2500 PR112/P-LSI-In=2500A 4p F F</t>
  </si>
  <si>
    <t>E3S 2500 PR112/P-LSI-In=2500A 4p F HR</t>
  </si>
  <si>
    <t>E3S 2500 PR112/P-LSI-In=2500A 4p F VR</t>
  </si>
  <si>
    <t>E3H 2500 PR111/P-LI-In=2500A 4p F F</t>
  </si>
  <si>
    <t>E3H 2500 PR111/P-LI-In=2500A 4p F HR</t>
  </si>
  <si>
    <t>E3H 2500 PR111/P-LI-In=2500A 4p F VR</t>
  </si>
  <si>
    <t>E3H 2500 PR111/P-LSIG-In=2500A 4p F F</t>
  </si>
  <si>
    <t>E3H 2500 PR111/P-LSIG-In=2500A 4p F HR</t>
  </si>
  <si>
    <t>E3H 2500 PR111/P-LSIG-In=2500A 4p F VR</t>
  </si>
  <si>
    <t>E3H 2500 PR111/P-LSI-In=2500A 4p F F</t>
  </si>
  <si>
    <t>E3H 2500 PR111/P-LSI-In=2500A 4p F HR</t>
  </si>
  <si>
    <t>E3H 2500 PR111/P-LSI-In=2500A 4p F VR</t>
  </si>
  <si>
    <t>E3H 2500 PR112/P-LSIG-In=2500A 4p F F</t>
  </si>
  <si>
    <t>E3H 2500 PR112/P-LSIG-In=2500A 4p F HR</t>
  </si>
  <si>
    <t>E3H 2500 PR112/P-LSIG-In=2500A 4p F VR</t>
  </si>
  <si>
    <t>E3H 2500 PR112/P-LSI-In=2500A 4p F F</t>
  </si>
  <si>
    <t>1SDA039659R0001</t>
  </si>
  <si>
    <t>1SDA040211R0001</t>
  </si>
  <si>
    <t>1SDA040217R0001</t>
  </si>
  <si>
    <t>1SDA040214R0001</t>
  </si>
  <si>
    <t>1SDA040223R0001</t>
  </si>
  <si>
    <t>1SDA040220R0001</t>
  </si>
  <si>
    <t>1SDA040919R0001</t>
  </si>
  <si>
    <t>1SDA040889R0001</t>
  </si>
  <si>
    <t>1SDA040904R0001</t>
  </si>
  <si>
    <t>1SDA040923R0001</t>
  </si>
  <si>
    <t>1SDA040893R0001</t>
  </si>
  <si>
    <t>1SDA040908R0001</t>
  </si>
  <si>
    <t>1SDA040921R0001</t>
  </si>
  <si>
    <t>1SDA040891R0001</t>
  </si>
  <si>
    <t>1SDA040906R0001</t>
  </si>
  <si>
    <t>1SDA040927R0001</t>
  </si>
  <si>
    <t>1SDA040897R0001</t>
  </si>
  <si>
    <t>1SDA040912R0001</t>
  </si>
  <si>
    <t>1SDA040925R0001</t>
  </si>
  <si>
    <t>1SDA040895R0001</t>
  </si>
  <si>
    <t>1SDA040910R0001</t>
  </si>
  <si>
    <t>1SDA041519R0001</t>
  </si>
  <si>
    <t>1SDA041489R0001</t>
  </si>
  <si>
    <t>1SDA041504R0001</t>
  </si>
  <si>
    <t>1SDA041523R0001</t>
  </si>
  <si>
    <t>1SDA041493R0001</t>
  </si>
  <si>
    <t>1SDA041508R0001</t>
  </si>
  <si>
    <t>1SDA041521R0001</t>
  </si>
  <si>
    <t>1SDA041491R0001</t>
  </si>
  <si>
    <t>1SDA041506R0001</t>
  </si>
  <si>
    <t>1SDA041490R0001</t>
  </si>
  <si>
    <t>1SDA041527R0001</t>
  </si>
  <si>
    <t>1SDA041497R0001</t>
  </si>
  <si>
    <t>1SDA041512R0001</t>
  </si>
  <si>
    <t>1SDA041525R0001</t>
  </si>
  <si>
    <t>1SDA041495R0001</t>
  </si>
  <si>
    <t>1SDA041510R0001</t>
  </si>
  <si>
    <t>1SDA041039R0001</t>
  </si>
  <si>
    <t>1SDA041009R0001</t>
  </si>
  <si>
    <t>1SDA041024R0001</t>
  </si>
  <si>
    <t>1SDA041043R0001</t>
  </si>
  <si>
    <t>1SDA041013R0001</t>
  </si>
  <si>
    <t>1SDA041028R0001</t>
  </si>
  <si>
    <t>1SDA041041R0001</t>
  </si>
  <si>
    <t>1SDA041011R0001</t>
  </si>
  <si>
    <t>1SDA041026R0001</t>
  </si>
  <si>
    <t>1SDA041047R0001</t>
  </si>
  <si>
    <t>1SDA041017R0001</t>
  </si>
  <si>
    <t>1SDA041032R0001</t>
  </si>
  <si>
    <t>1SDA041045R0001</t>
  </si>
  <si>
    <t>1SDA041015R0001</t>
  </si>
  <si>
    <t>1SDA041030R0001</t>
  </si>
  <si>
    <t>1SDA041639R0001</t>
  </si>
  <si>
    <t>1SDA041609R0001</t>
  </si>
  <si>
    <t>1SDA041624R0001</t>
  </si>
  <si>
    <t>1SDA041643R0001</t>
  </si>
  <si>
    <t>1SDA041613R0001</t>
  </si>
  <si>
    <t>1SDA041628R0001</t>
  </si>
  <si>
    <t>1SDA041641R0001</t>
  </si>
  <si>
    <t>1SDA041611R0001</t>
  </si>
  <si>
    <t>1SDA041626R0001</t>
  </si>
  <si>
    <t>1SDA041647R0001</t>
  </si>
  <si>
    <t>1SDA041617R0001</t>
  </si>
  <si>
    <t>1SDA041632R0001</t>
  </si>
  <si>
    <t>1SDA041645R0001</t>
  </si>
  <si>
    <t>1SDA041615R0001</t>
  </si>
  <si>
    <t>1SDA041630R0001</t>
  </si>
  <si>
    <t>1SDA041159R0001</t>
  </si>
  <si>
    <t>1SDA041129R0001</t>
  </si>
  <si>
    <t>1SDA041144R0001</t>
  </si>
  <si>
    <t>1SDA041163R0001</t>
  </si>
  <si>
    <t>1SDA041133R0001</t>
  </si>
  <si>
    <t>1SDA041148R0001</t>
  </si>
  <si>
    <t>1SDA041161R0001</t>
  </si>
  <si>
    <t>1SDA041131R0001</t>
  </si>
  <si>
    <t>1SDA041146R0001</t>
  </si>
  <si>
    <t>1SDA041167R0001</t>
  </si>
  <si>
    <t>1SDA041137R0001</t>
  </si>
  <si>
    <t>1SDA041152R0001</t>
  </si>
  <si>
    <t>1SDA041165R0001</t>
  </si>
  <si>
    <t>1SDA041135R0001</t>
  </si>
  <si>
    <t>1SDA041150R0001</t>
  </si>
  <si>
    <t>1SDA041759R0001</t>
  </si>
  <si>
    <t>1SDA041729R0001</t>
  </si>
  <si>
    <t>1SDA041744R0001</t>
  </si>
  <si>
    <t>1SDA041763R0001</t>
  </si>
  <si>
    <t>1SDA041733R0001</t>
  </si>
  <si>
    <t>1SDA041748R0001</t>
  </si>
  <si>
    <t>1SDA041761R0001</t>
  </si>
  <si>
    <t>1SDA041731R0001</t>
  </si>
  <si>
    <t>1SDA041746R0001</t>
  </si>
  <si>
    <t>1SDA041767R0001</t>
  </si>
  <si>
    <t>1SDA041737R0001</t>
  </si>
  <si>
    <t>1SDA041752R0001</t>
  </si>
  <si>
    <t>1SDA041765R0001</t>
  </si>
  <si>
    <t>1SDA041735R0001</t>
  </si>
  <si>
    <t>1SDA041750R0001</t>
  </si>
  <si>
    <t>1SDA042119R0001</t>
  </si>
  <si>
    <t>1SDA042089R0001</t>
  </si>
  <si>
    <t>1SDA042104R0001</t>
  </si>
  <si>
    <t>1SDA042123R0001</t>
  </si>
  <si>
    <t>1SDA042093R0001</t>
  </si>
  <si>
    <t>1SDA042108R0001</t>
  </si>
  <si>
    <t>1SDA042121R0001</t>
  </si>
  <si>
    <t>1SDA042091R0001</t>
  </si>
  <si>
    <t>1SDA042106R0001</t>
  </si>
  <si>
    <t>1SDA042127R0001</t>
  </si>
  <si>
    <t>1SDA042097R0001</t>
  </si>
  <si>
    <t>1SDA042112R0001</t>
  </si>
  <si>
    <t>1SDA042125R0001</t>
  </si>
  <si>
    <t>1SDA042095R0001</t>
  </si>
  <si>
    <t>1SDA042110R0001</t>
  </si>
  <si>
    <t>1SDA040679R0001</t>
  </si>
  <si>
    <t>1SDA040649R0001</t>
  </si>
  <si>
    <t>1SDA040664R0001</t>
  </si>
  <si>
    <t>1SDA040683R0001</t>
  </si>
  <si>
    <t>1SDA040653R0001</t>
  </si>
  <si>
    <t>1SDA040668R0001</t>
  </si>
  <si>
    <t>1SDA040681R0001</t>
  </si>
  <si>
    <t>1SDA040651R0001</t>
  </si>
  <si>
    <t>1SDA040666R0001</t>
  </si>
  <si>
    <t>1SDA040687R0001</t>
  </si>
  <si>
    <t>1SDA040846R0001</t>
  </si>
  <si>
    <t>1SDA040867R0001</t>
  </si>
  <si>
    <t>1SDA043381R0001</t>
  </si>
  <si>
    <t>1SDA040852R0001</t>
  </si>
  <si>
    <t>1SDA040865R0001</t>
  </si>
  <si>
    <t>1SDA043379R0001</t>
  </si>
  <si>
    <t>1SDA040850R0001</t>
  </si>
  <si>
    <t>1SDA041459R0001</t>
  </si>
  <si>
    <t>1SDA041429R0001</t>
  </si>
  <si>
    <t>1SDA041444R0001</t>
  </si>
  <si>
    <t>1SDA041463R0001</t>
  </si>
  <si>
    <t>1SDA041433R0001</t>
  </si>
  <si>
    <t>1SDA041448R0001</t>
  </si>
  <si>
    <t>1SDA041461R0001</t>
  </si>
  <si>
    <t>1SDA041431R0001</t>
  </si>
  <si>
    <t>1SDA041446R0001</t>
  </si>
  <si>
    <t>1SDA041467R0001</t>
  </si>
  <si>
    <t>1SDA041437R0001</t>
  </si>
  <si>
    <t>1SDA041452R0001</t>
  </si>
  <si>
    <t>1SDA041465R0001</t>
  </si>
  <si>
    <t>1SDA041435R0001</t>
  </si>
  <si>
    <t>1SDA041450R0001</t>
  </si>
  <si>
    <t>1SDA042059R0001</t>
  </si>
  <si>
    <t>1SDA042029R0001</t>
  </si>
  <si>
    <t>1SDA042044R0001</t>
  </si>
  <si>
    <t>1SDA042063R0001</t>
  </si>
  <si>
    <t>1SDA042033R0001</t>
  </si>
  <si>
    <t>1SDA042048R0001</t>
  </si>
  <si>
    <t>1SDA042061R0001</t>
  </si>
  <si>
    <t>1SDA042031R0001</t>
  </si>
  <si>
    <t>1SDA042046R0001</t>
  </si>
  <si>
    <t>1SDA042067R0001</t>
  </si>
  <si>
    <t>1SDA042037R0001</t>
  </si>
  <si>
    <t>1SDA042052R0001</t>
  </si>
  <si>
    <t>1SDA042065R0001</t>
  </si>
  <si>
    <t>1SDA042035R0001</t>
  </si>
  <si>
    <t>1SDA042050R0001</t>
  </si>
  <si>
    <t>1SDA040994R0001</t>
  </si>
  <si>
    <t>E4S 4000 PR112/P-LSI-In=4000A 4p W MP</t>
  </si>
  <si>
    <t>E4H 4000 PR111/P-LI-In=4000A 4p W MP</t>
  </si>
  <si>
    <t>E4H 4000 PR111/P-LSIG-In=4000A 4p W MP</t>
  </si>
  <si>
    <t>E4H 4000 PR111/P-LSI-In=4000A 4p W MP</t>
  </si>
  <si>
    <t>Jmenovitý proud In</t>
  </si>
  <si>
    <t>In</t>
  </si>
  <si>
    <t>Icu</t>
  </si>
  <si>
    <t>póly</t>
  </si>
  <si>
    <t>1SDA041240R0001</t>
  </si>
  <si>
    <t>1SDA041834R0001</t>
  </si>
  <si>
    <t>1SDA041838R0001</t>
  </si>
  <si>
    <t>1SDA041836R0001</t>
  </si>
  <si>
    <t>1SDA041842R0001</t>
  </si>
  <si>
    <t>1SDA041840R0001</t>
  </si>
  <si>
    <t>1SDA042194R0001</t>
  </si>
  <si>
    <t>1SDA042198R0001</t>
  </si>
  <si>
    <t>1SDA042196R0001</t>
  </si>
  <si>
    <t>1SDA042202R0001</t>
  </si>
  <si>
    <t>1SDA042200R0001</t>
  </si>
  <si>
    <t>1SDA040754R0001</t>
  </si>
  <si>
    <t>1SDA040758R0001</t>
  </si>
  <si>
    <t>1SDA040756R0001</t>
  </si>
  <si>
    <t>1SDA040762R0001</t>
  </si>
  <si>
    <t>1SDA040760R0001</t>
  </si>
  <si>
    <t>1SDA041354R0001</t>
  </si>
  <si>
    <t>1SDA041358R0001</t>
  </si>
  <si>
    <t>1SDA041356R0001</t>
  </si>
  <si>
    <t>1SDA041362R0001</t>
  </si>
  <si>
    <t>1SDA041360R0001</t>
  </si>
  <si>
    <t>1SDA041954R0001</t>
  </si>
  <si>
    <t>1SDA041958R0001</t>
  </si>
  <si>
    <t>1SDA041956R0001</t>
  </si>
  <si>
    <t>1SDA041962R0001</t>
  </si>
  <si>
    <t>1SDA041960R0001</t>
  </si>
  <si>
    <t>1SDA042314R0001</t>
  </si>
  <si>
    <t>1SDA042318R0001</t>
  </si>
  <si>
    <t>1SDA042316R0001</t>
  </si>
  <si>
    <t>1SDA042322R0001</t>
  </si>
  <si>
    <t>1SDA042320R0001</t>
  </si>
  <si>
    <t>1SDA040874R0001</t>
  </si>
  <si>
    <t>1SDA040878R0001</t>
  </si>
  <si>
    <t>1SDA040876R0001</t>
  </si>
  <si>
    <t>1SDA040882R0001</t>
  </si>
  <si>
    <t>1SDA040880R0001</t>
  </si>
  <si>
    <t>1SDA041474R0001</t>
  </si>
  <si>
    <t>1SDA041478R0001</t>
  </si>
  <si>
    <t>1SDA041476R0001</t>
  </si>
  <si>
    <t>1SDA041482R0001</t>
  </si>
  <si>
    <t>1SDA041480R0001</t>
  </si>
  <si>
    <t>1SDA042074R0001</t>
  </si>
  <si>
    <t>1SDA042078R0001</t>
  </si>
  <si>
    <t>1SDA042076R0001</t>
  </si>
  <si>
    <t>1SDA042082R0001</t>
  </si>
  <si>
    <t>1SDA042080R0001</t>
  </si>
  <si>
    <t>1SDA042480R0001</t>
  </si>
  <si>
    <t>1SDA042450R0001</t>
  </si>
  <si>
    <t>1SDA042465R0001</t>
  </si>
  <si>
    <t>1SDA042484R0001</t>
  </si>
  <si>
    <t>1SDA042454R0001</t>
  </si>
  <si>
    <t>1SDA042469R0001</t>
  </si>
  <si>
    <t>1SDA042482R0001</t>
  </si>
  <si>
    <t>1SDA042452R0001</t>
  </si>
  <si>
    <t>1SDA042467R0001</t>
  </si>
  <si>
    <t>E3S 3200 PR111/P-LI-In=3200A 3p F HR</t>
  </si>
  <si>
    <t>E3S 3200 PR111/P-LI-In=3200A 3p F VR</t>
  </si>
  <si>
    <t>E3S 3200 PR111/P-LSIG-In=3200A 3p F F</t>
  </si>
  <si>
    <t>E3S 3200 PR111/P-LSIG-In=3200A 3p F HR</t>
  </si>
  <si>
    <t>E3S 3200 PR111/P-LSIG-In=3200A 3p F VR</t>
  </si>
  <si>
    <t>E3S 3200 PR111/P-LSI-In=3200A 3p F F</t>
  </si>
  <si>
    <t>E3S 3200 PR111/P-LSI-In=3200A 3p F HR</t>
  </si>
  <si>
    <t>E2B/MS 1600  3p F VR</t>
  </si>
  <si>
    <t>E1B/MS 1250  3p F VR</t>
  </si>
  <si>
    <t>E1B/MS  800  3p F VR</t>
  </si>
  <si>
    <t>E1B/MS 1250  4p F VR</t>
  </si>
  <si>
    <t>E2B/MS 1600  4p F VR</t>
  </si>
  <si>
    <t>E2N/MS 1250  4p F VR</t>
  </si>
  <si>
    <t>E2B/MS 2000  4p F VR</t>
  </si>
  <si>
    <t>E2B/MS 2000  3p F VR</t>
  </si>
  <si>
    <t>E2N/MS 1600  3p F VR</t>
  </si>
  <si>
    <t>E2N/MS 1600  4p F VR</t>
  </si>
  <si>
    <t>E2N/MS 2000  4p F VR</t>
  </si>
  <si>
    <t>E2N/MS 2000  3p F VR</t>
  </si>
  <si>
    <t>E3N/MS 2500  3p F VR</t>
  </si>
  <si>
    <t>E3N/MS 2500  4p F VR</t>
  </si>
  <si>
    <t>E3N/MS 3200  4p F VR</t>
  </si>
  <si>
    <t>E3N/MS 3200  3p F VR</t>
  </si>
  <si>
    <t>E3S/MS 1250  3p F VR</t>
  </si>
  <si>
    <t>E3S/MS 1250  4p F VR</t>
  </si>
  <si>
    <t>1SDA041789R0001</t>
  </si>
  <si>
    <t>1SDA041804R0001</t>
  </si>
  <si>
    <t>1SDA041823R0001</t>
  </si>
  <si>
    <t>1SDA041793R0001</t>
  </si>
  <si>
    <t>1SDA041808R0001</t>
  </si>
  <si>
    <t>1SDA041821R0001</t>
  </si>
  <si>
    <t>1SDA041791R0001</t>
  </si>
  <si>
    <t>1SDA041806R0001</t>
  </si>
  <si>
    <t>1SDA041827R0001</t>
  </si>
  <si>
    <t>1SDA041797R0001</t>
  </si>
  <si>
    <t>1SDA037792R0001</t>
  </si>
  <si>
    <t>1SDA037793R0001</t>
  </si>
  <si>
    <t>1SDA037794R0001</t>
  </si>
  <si>
    <t>1SDA037795R0001</t>
  </si>
  <si>
    <t>1SDA037796R0001</t>
  </si>
  <si>
    <t>1SDA037797R0001</t>
  </si>
  <si>
    <t>1SDA037798R0001</t>
  </si>
  <si>
    <t>1SDA037799R0001</t>
  </si>
  <si>
    <t>1SDA037800R0001</t>
  </si>
  <si>
    <t>1SDA037801R0001</t>
  </si>
  <si>
    <t>1SDA038007R0001</t>
  </si>
  <si>
    <t>1SDA038009R0001</t>
  </si>
  <si>
    <t>1SDA038010R0001</t>
  </si>
  <si>
    <t>1SDA038011R0001</t>
  </si>
  <si>
    <t>1SDA038012R0001</t>
  </si>
  <si>
    <t>1SDA038013R0001</t>
  </si>
  <si>
    <t>1SDA038014R0001</t>
  </si>
  <si>
    <t>1SDA038015R0001</t>
  </si>
  <si>
    <t>1SDA038016R0001</t>
  </si>
  <si>
    <t>1SDA038017R0001</t>
  </si>
  <si>
    <t>1SDA038018R0001</t>
  </si>
  <si>
    <t>1SDA038019R0001</t>
  </si>
  <si>
    <t>1SDA038020R0001</t>
  </si>
  <si>
    <t>1SDA038021R0001</t>
  </si>
  <si>
    <t>1SDA038022R0001</t>
  </si>
  <si>
    <t>1SDA038023R0001</t>
  </si>
  <si>
    <t>1SDA038024R0001</t>
  </si>
  <si>
    <t>1SDA038025R0001</t>
  </si>
  <si>
    <t>1SDA038026R0001</t>
  </si>
  <si>
    <t>1SDA038027R0001</t>
  </si>
  <si>
    <t>1SDA038028R0001</t>
  </si>
  <si>
    <t>1SDA038029R0001</t>
  </si>
  <si>
    <t>1SDA038030R0001</t>
  </si>
  <si>
    <t>1SDA038031R0001</t>
  </si>
  <si>
    <t>1SDA038032R0001</t>
  </si>
  <si>
    <t>1SDA038033R0001</t>
  </si>
  <si>
    <t>1SDA038034R0001</t>
  </si>
  <si>
    <t>1SDA038035R0001</t>
  </si>
  <si>
    <t>1SDA038036R0001</t>
  </si>
  <si>
    <t>E3H 2000 PR111/P-LI-In=2000A 4p W MP</t>
  </si>
  <si>
    <t>E3H 2000 PR111/P-LSIG-In=2000A 4p W MP</t>
  </si>
  <si>
    <t>E3H 2000 PR111/P-LSI-In=2000A 4p W MP</t>
  </si>
  <si>
    <t>E3H 2000 PR112/P-LSIG-In=2000A 4p W MP</t>
  </si>
  <si>
    <t>E3H 2000 PR112/P-LSI-In=2000A 4p W MP</t>
  </si>
  <si>
    <t>E3L 2000 PR111/P-LI-In=2000A 4p W MP</t>
  </si>
  <si>
    <t>E3L 2000 PR111/P-LSIG-In=2000A 4p W MP</t>
  </si>
  <si>
    <t>E3L 2000 PR111/P-LSI-In=2000A 4p W MP</t>
  </si>
  <si>
    <t>E3L 2000 PR112/P-LSIG-In=2000A 4p W MP</t>
  </si>
  <si>
    <t>E3L 2000 PR112/P-LSI-In=2000A 4p W MP</t>
  </si>
  <si>
    <t>E3N 2500 PR111/P-LI-In=2500A 4p W MP</t>
  </si>
  <si>
    <t>E3N 2500 PR111/P-LSIG-In=2500A 4p W MP</t>
  </si>
  <si>
    <t>E1B  800 PR111/P-LI-In=800A 3p F VR</t>
  </si>
  <si>
    <t>E1B  800 PR111/P-LSIG-In=800A 3p F F</t>
  </si>
  <si>
    <t>E1B  800 PR111/P-LSIG-In=800A 3p F HR</t>
  </si>
  <si>
    <t>1SDA041926R0001</t>
  </si>
  <si>
    <t>1SDA041947R0001</t>
  </si>
  <si>
    <t>1SDA041917R0001</t>
  </si>
  <si>
    <t>1SDA041932R0001</t>
  </si>
  <si>
    <t>1SDA041945R0001</t>
  </si>
  <si>
    <t>1SDA041915R0001</t>
  </si>
  <si>
    <t>1SDA041930R0001</t>
  </si>
  <si>
    <t>1SDA042299R0001</t>
  </si>
  <si>
    <t>1SDA042269R0001</t>
  </si>
  <si>
    <t>1SDA042284R0001</t>
  </si>
  <si>
    <t>1SDA042303R0001</t>
  </si>
  <si>
    <t>1SDA042273R0001</t>
  </si>
  <si>
    <t>1SDA042288R0001</t>
  </si>
  <si>
    <t>1SDA042301R0001</t>
  </si>
  <si>
    <t>1SDA042271R0001</t>
  </si>
  <si>
    <t>1SDA042286R0001</t>
  </si>
  <si>
    <t>1SDA042307R0001</t>
  </si>
  <si>
    <t>1SDA042277R0001</t>
  </si>
  <si>
    <t>E3H 3200 PR111/P-LSI-In=3200A 4p F F</t>
  </si>
  <si>
    <t>E3H 3200 PR111/P-LSI-In=3200A 4p F HR</t>
  </si>
  <si>
    <t>E3H 3200 PR111/P-LSI-In=3200A 4p F VR</t>
  </si>
  <si>
    <t>Ics=42kA; Icw=36kA</t>
  </si>
  <si>
    <t>Ics=50kA; Icw=50kA</t>
  </si>
  <si>
    <t>Ics=42kA; Icw=42kA</t>
  </si>
  <si>
    <t>Icm=105kA (peak)</t>
  </si>
  <si>
    <t>Icm=88,2kA (peak)</t>
  </si>
  <si>
    <t>1SDA040657R0001</t>
  </si>
  <si>
    <t>1SDA040672R0001</t>
  </si>
  <si>
    <t>1SDA040685R0001</t>
  </si>
  <si>
    <t>1SDA040655R0001</t>
  </si>
  <si>
    <t>1SDA040670R0001</t>
  </si>
  <si>
    <t>1SDA041279R0001</t>
  </si>
  <si>
    <t>E3L 2500 PR111/P-LSIG-In=2500A 4p W MP</t>
  </si>
  <si>
    <t>E3L 2500 PR111/P-LSI-In=2500A 4p W MP</t>
  </si>
  <si>
    <t>E3L 2500 PR112/P-LSIG-In=2500A 4p W MP</t>
  </si>
  <si>
    <t>E3L 2500 PR112/P-LSI-In=2500A 4p W MP</t>
  </si>
  <si>
    <t>Nezaintegrované příslušenství</t>
  </si>
  <si>
    <t>Pol.</t>
  </si>
  <si>
    <t>Cena/Kč</t>
  </si>
  <si>
    <t>Cena celkem:</t>
  </si>
  <si>
    <t>Cena po slevě:</t>
  </si>
  <si>
    <t>Sleva:</t>
  </si>
  <si>
    <t>A</t>
  </si>
  <si>
    <t>kA</t>
  </si>
  <si>
    <t>Objednávka č:</t>
  </si>
  <si>
    <t>Nabídka č:</t>
  </si>
  <si>
    <t>E3N 2500 PR111/P-LSI-In=2500A 4p W MP</t>
  </si>
  <si>
    <t>E3N 2500 PR112/P-LSIG-In=2500A 4p W MP</t>
  </si>
  <si>
    <t>E3N 2500 PR112/P-LSI-In=2500A 4p W MP</t>
  </si>
  <si>
    <t>E3S 2500 PR111/P-LI-In=2500A 4p W MP</t>
  </si>
  <si>
    <t>E3S 2500 PR111/P-LSIG-In=2500A 4p W MP</t>
  </si>
  <si>
    <t>E3S 2500 PR111/P-LSI-In=2500A 4p W MP</t>
  </si>
  <si>
    <t>E3S 2500 PR112/P-LSIG-In=2500A 4p W MP</t>
  </si>
  <si>
    <t>E3S 2500 PR112/P-LSI-In=2500A 4p W MP</t>
  </si>
  <si>
    <t>E3H 2500 PR111/P-LI-In=2500A 4p W MP</t>
  </si>
  <si>
    <t>E3H 2500 PR111/P-LSIG-In=2500A 4p W MP</t>
  </si>
  <si>
    <t>E3H 2500 PR111/P-LSI-In=2500A 4p W MP</t>
  </si>
  <si>
    <t>E3H 2500 PR112/P-LSIG-In=2500A 4p W MP</t>
  </si>
  <si>
    <t>E3H 2500 PR112/P-LSI-In=2500A 4p W MP</t>
  </si>
  <si>
    <t>Kč</t>
  </si>
  <si>
    <t>Jistič:</t>
  </si>
  <si>
    <t>Pevná část:</t>
  </si>
  <si>
    <t>Příslušenství:</t>
  </si>
  <si>
    <t>Jistič celkem:</t>
  </si>
  <si>
    <t>Jistič s příslušenstvím:</t>
  </si>
  <si>
    <t>E4H/MS 4000  4p F VR</t>
  </si>
  <si>
    <t>Výběr dle objednacích čísel</t>
  </si>
  <si>
    <t>Ze dne:</t>
  </si>
  <si>
    <t>CTs  EXT. NEUTRAL In=1250A E3</t>
  </si>
  <si>
    <t>CTs  EXT. NEUTRAL In=1600A E3</t>
  </si>
  <si>
    <t>CTs  EXT. NEUTRAL In=2000A E3</t>
  </si>
  <si>
    <t>CTs  EXT. NEUTRAL In=2500A E3</t>
  </si>
  <si>
    <t>Počet ks:</t>
  </si>
  <si>
    <t>Celkem:</t>
  </si>
  <si>
    <t>E1B  800 PR111/P-LSIG-In=800A 3p W MP</t>
  </si>
  <si>
    <t>E1B  800 PR111/P-LSI-In=800A 3p W MP</t>
  </si>
  <si>
    <t>E1B  800 PR112/P-LSIG-In=800A 3p W MP</t>
  </si>
  <si>
    <t>E1B  800 PR112/P-LSI-In=800A 3p W MP</t>
  </si>
  <si>
    <t>E1B 1250 PR111/P-LI-In=1250A 3p W MP</t>
  </si>
  <si>
    <t>E1B 1250 PR111/P-LSIG-In=1250A 3p W MP</t>
  </si>
  <si>
    <t>E1B 1250 PR111/P-LSI-In=1250A 3p W MP</t>
  </si>
  <si>
    <t>E3H 3200 PR111/P-LI-In=3200A 4p W MP</t>
  </si>
  <si>
    <t>E3H 3200 PR111/P-LSIG-In=3200A 4p W MP</t>
  </si>
  <si>
    <t>E3H 3200 PR111/P-LSI-In=3200A 4p W MP</t>
  </si>
  <si>
    <t>E1B  800 PR111/P-LI-In=800A 4p F F</t>
  </si>
  <si>
    <t>E1B  800 PR111/P-LI-In=800A 4p F HR</t>
  </si>
  <si>
    <t>E1B  800 PR111/P-LI-In=800A 4p F VR</t>
  </si>
  <si>
    <t>E1B  800 PR111/P-LSIG-In=800A 4p F F</t>
  </si>
  <si>
    <t>E4H 3200 PR111/P-LSIG-In=3200A 3p F HR</t>
  </si>
  <si>
    <t>E4H 3200 PR111/P-LSIG-In=3200A 3p F VR</t>
  </si>
  <si>
    <t>E4H 3200 PR111/P-LSI-In=3200A 3p F F</t>
  </si>
  <si>
    <t>E4H 3200 PR111/P-LSI-In=3200A 3p F HR</t>
  </si>
  <si>
    <t>E4H 3200 PR111/P-LSI-In=3200A 3p F VR</t>
  </si>
  <si>
    <t>E4H 3200 PR112/P-LSIG-In=3200A 3p F F</t>
  </si>
  <si>
    <t>E4H 3200 PR112/P-LSIG-In=3200A 3p F HR</t>
  </si>
  <si>
    <t>E4H 3200 PR112/P-LSIG-In=3200A 3p F VR</t>
  </si>
  <si>
    <t>E4H 3200 PR112/P-LSI-In=3200A 3p F F</t>
  </si>
  <si>
    <t>E4H 3200 PR112/P-LSI-In=3200A 3p F HR</t>
  </si>
  <si>
    <t>E4H 3200 PR112/P-LSI-In=3200A 3p F VR</t>
  </si>
  <si>
    <t>E4S 4000 PR111/P-LI-In=4000A 3p F F</t>
  </si>
  <si>
    <t>E4S</t>
  </si>
  <si>
    <t>E4S 4000 PR111/P-LI-In=4000A 3p F HR</t>
  </si>
  <si>
    <t>E4S 4000 PR111/P-LI-In=4000A 3p F VR</t>
  </si>
  <si>
    <t>E4S 4000 PR111/P-LSIG-In=4000A 3p F F</t>
  </si>
  <si>
    <t>E4S 4000 PR111/P-LSIG-In=4000A 3p F HR</t>
  </si>
  <si>
    <t>E4S 4000 PR111/P-LSIG-In=4000A 3p F VR</t>
  </si>
  <si>
    <t>E4S 4000 PR111/P-LSI-In=4000A 3p F F</t>
  </si>
  <si>
    <t>E4S 4000 PR111/P-LSI-In=4000A 3p F HR</t>
  </si>
  <si>
    <t>E4S 4000 PR111/P-LSI-In=4000A 3p F VR</t>
  </si>
  <si>
    <t>E4S 4000 PR112/P-LSIG-In=4000A 3p F F</t>
  </si>
  <si>
    <t>E4S 4000 PR112/P-LSIG-In=4000A 3p F HR</t>
  </si>
  <si>
    <t>E4S 4000 PR112/P-LSIG-In=4000A 3p F VR</t>
  </si>
  <si>
    <t>E4S 4000 PR112/P-LSI-In=4000A 3p F F</t>
  </si>
  <si>
    <t>E4S 4000 PR112/P-LSI-In=4000A 3p F HR</t>
  </si>
  <si>
    <t>E4S 4000 PR112/P-LSI-In=4000A 3p F VR</t>
  </si>
  <si>
    <t>E4H 4000 PR111/P-LI-In=4000A 3p F F</t>
  </si>
  <si>
    <t>E4H 4000 PR111/P-LI-In=4000A 3p F HR</t>
  </si>
  <si>
    <t>E4H 4000 PR111/P-LI-In=4000A 3p F VR</t>
  </si>
  <si>
    <t>E4H 4000 PR111/P-LSIG-In=4000A 3p F F</t>
  </si>
  <si>
    <t>E4H 4000 PR111/P-LSIG-In=4000A 3p F HR</t>
  </si>
  <si>
    <t>E4H 4000 PR111/P-LSIG-In=4000A 3p F VR</t>
  </si>
  <si>
    <t>E4H 4000 PR111/P-LSI-In=4000A 3p F F</t>
  </si>
  <si>
    <t>E4H 4000 PR111/P-LSI-In=4000A 3p F HR</t>
  </si>
  <si>
    <t>E4H 4000 PR111/P-LSI-In=4000A 3p F VR</t>
  </si>
  <si>
    <t>E4H 4000 PR112/P-LSIG-In=4000A 3p F F</t>
  </si>
  <si>
    <t>E4H 4000 PR112/P-LSIG-In=4000A 3p F HR</t>
  </si>
  <si>
    <t>E4H 4000 PR112/P-LSIG-In=4000A 3p F VR</t>
  </si>
  <si>
    <t>E4H 4000 PR112/P-LSI-In=4000A 3p F F</t>
  </si>
  <si>
    <t>E4H 4000 PR112/P-LSI-In=4000A 3p F HR</t>
  </si>
  <si>
    <t>E4H 4000 PR112/P-LSI-In=4000A 3p F VR</t>
  </si>
  <si>
    <t>E4H 3200 PR111/P-LI-In=3200A 3p W MP</t>
  </si>
  <si>
    <t>E4H 3200 PR111/P-LSIG-In=3200A 3p W MP</t>
  </si>
  <si>
    <t>E4H 3200 PR111/P-LSI-In=3200A 3p W MP</t>
  </si>
  <si>
    <t>E4H 3200 PR112/P-LSIG-In=3200A 3p W MP</t>
  </si>
  <si>
    <t>E4H 3200 PR112/P-LSI-In=3200A 3p W MP</t>
  </si>
  <si>
    <t>E4S 4000 PR111/P-LI-In=4000A 3p W MP</t>
  </si>
  <si>
    <t>E4S 4000 PR111/P-LSIG-In=4000A 3p W MP</t>
  </si>
  <si>
    <t>E4S 4000 PR111/P-LSI-In=4000A 3p W MP</t>
  </si>
  <si>
    <t>E4S 4000 PR112/P-LSIG-In=4000A 3p W MP</t>
  </si>
  <si>
    <t>E4S 4000 PR112/P-LSI-In=4000A 3p W MP</t>
  </si>
  <si>
    <t>E4H 4000 PR111/P-LI-In=4000A 3p W MP</t>
  </si>
  <si>
    <t>E4H 4000 PR111/P-LSIG-In=4000A 3p W MP</t>
  </si>
  <si>
    <t>E4H 4000 PR111/P-LSI-In=4000A 3p W MP</t>
  </si>
  <si>
    <t>E4H 4000 PR112/P-LSIG-In=4000A 3p W MP</t>
  </si>
  <si>
    <t>E4H 4000 PR112/P-LSI-In=4000A 3p W MP</t>
  </si>
  <si>
    <t>E4H 3200 PR111/P-LI-In=3200A 4p F F</t>
  </si>
  <si>
    <t>E4H 3200 PR111/P-LI-In=3200A 4p F HR</t>
  </si>
  <si>
    <t>E4H 3200 PR111/P-LI-In=3200A 4p F VR</t>
  </si>
  <si>
    <t>E4H 3200 PR111/P-LSIG-In=3200A 4p F F</t>
  </si>
  <si>
    <t>E4H 3200 PR111/P-LSIG-In=3200A 4p F HR</t>
  </si>
  <si>
    <t>E4H 3200 PR111/P-LSIG-In=3200A 4p F VR</t>
  </si>
  <si>
    <t>E4H 3200 PR111/P-LSI-In=3200A 4p F F</t>
  </si>
  <si>
    <t>E4H 3200 PR111/P-LSI-In=3200A 4p F HR</t>
  </si>
  <si>
    <t>E4H 3200 PR111/P-LSI-In=3200A 4p F VR</t>
  </si>
  <si>
    <t>E4H 3200 PR112/P-LSIG-In=3200A 4p F F</t>
  </si>
  <si>
    <t>E4H 3200 PR112/P-LSIG-In=3200A 4p F HR</t>
  </si>
  <si>
    <t>E4H 3200 PR112/P-LSIG-In=3200A 4p F VR</t>
  </si>
  <si>
    <t>E4H 3200 PR112/P-LSI-In=3200A 4p F F</t>
  </si>
  <si>
    <t>E4H 3200 PR112/P-LSI-In=3200A 4p F HR</t>
  </si>
  <si>
    <t>E4H 3200 PR112/P-LSI-In=3200A 4p F VR</t>
  </si>
  <si>
    <t>E4S 4000 PR111/P-LI-In=4000A 4p F F</t>
  </si>
  <si>
    <t>E4S 4000 PR111/P-LI-In=4000A 4p F HR</t>
  </si>
  <si>
    <t>E4S 4000 PR111/P-LI-In=4000A 4p F VR</t>
  </si>
  <si>
    <t>E4S 4000 PR111/P-LSIG-In=4000A 4p F F</t>
  </si>
  <si>
    <t>E4S 4000 PR111/P-LSIG-In=4000A 4p F HR</t>
  </si>
  <si>
    <t>E4S 4000 PR111/P-LSIG-In=4000A 4p F VR</t>
  </si>
  <si>
    <t>E4S 4000 PR111/P-LSI-In=4000A 4p F F</t>
  </si>
  <si>
    <t>E4S 4000 PR111/P-LSI-In=4000A 4p F HR</t>
  </si>
  <si>
    <t>E4S 4000 PR111/P-LSI-In=4000A 4p F VR</t>
  </si>
  <si>
    <t>E4S 4000 PR112/P-LSIG-In=4000A 4p F F</t>
  </si>
  <si>
    <t>velikost</t>
  </si>
  <si>
    <t>pól</t>
  </si>
  <si>
    <t>kód</t>
  </si>
  <si>
    <t>q</t>
  </si>
  <si>
    <t>1SDA037707R0001</t>
  </si>
  <si>
    <t>1SDA037708R0001</t>
  </si>
  <si>
    <t>1SDA037709R0001</t>
  </si>
  <si>
    <t>1SDA037710R0001</t>
  </si>
  <si>
    <t>1SDA037711R0001</t>
  </si>
  <si>
    <t>1SDA037712R0001</t>
  </si>
  <si>
    <t>1SDA037713R0001</t>
  </si>
  <si>
    <t>1SDA037714R0001</t>
  </si>
  <si>
    <t>1SDA037715R0001</t>
  </si>
  <si>
    <t>1SDA037716R0001</t>
  </si>
  <si>
    <t>1SDA037717R0001</t>
  </si>
  <si>
    <t>1SDA037718R0001</t>
  </si>
  <si>
    <t>1SDA037719R0001</t>
  </si>
  <si>
    <t>1SDA037720R0001</t>
  </si>
  <si>
    <t>1SDA040998R0001</t>
  </si>
  <si>
    <t>1SDA040996R0001</t>
  </si>
  <si>
    <t>1SDA041002R0001</t>
  </si>
  <si>
    <t>1SDA041000R0001</t>
  </si>
  <si>
    <t>1SDA041594R0001</t>
  </si>
  <si>
    <t>1SDA041598R0001</t>
  </si>
  <si>
    <t>1SDA041596R0001</t>
  </si>
  <si>
    <t>1SDA041602R0001</t>
  </si>
  <si>
    <t>1SDA041600R0001</t>
  </si>
  <si>
    <t>1SDA041114R0001</t>
  </si>
  <si>
    <t>1SDA041118R0001</t>
  </si>
  <si>
    <t>1SDA041116R0001</t>
  </si>
  <si>
    <t>1SDA041122R0001</t>
  </si>
  <si>
    <t>1SDA041120R0001</t>
  </si>
  <si>
    <t>1SDA041714R0001</t>
  </si>
  <si>
    <t>1SDA041718R0001</t>
  </si>
  <si>
    <t>1SDA041716R0001</t>
  </si>
  <si>
    <t>1SDA041722R0001</t>
  </si>
  <si>
    <t>1SDA041720R0001</t>
  </si>
  <si>
    <t>1SDA041234R0001</t>
  </si>
  <si>
    <t>1SDA041238R0001</t>
  </si>
  <si>
    <t>1SDA041236R0001</t>
  </si>
  <si>
    <t>1SDA041242R0001</t>
  </si>
  <si>
    <t>E2N/MS 1600  3p W MP</t>
  </si>
  <si>
    <t>E2N/MS 1250  3p W MP</t>
  </si>
  <si>
    <t>E2N/MS 2000  3p W MP</t>
  </si>
  <si>
    <t>E2N/MS 2000  4p W MP</t>
  </si>
  <si>
    <t>E2N/MS 1600  4p W MP</t>
  </si>
  <si>
    <t>E2N/MS 1250  4p W MP</t>
  </si>
  <si>
    <t>E3N/MS 2500  4p W MP</t>
  </si>
  <si>
    <t>E3N/MS 3200  4p W MP</t>
  </si>
  <si>
    <t>E6H 6300 PR111/P-LSI-In=6300A 3p F HR</t>
  </si>
  <si>
    <t>E6H 6300 PR111/P-LSI-In=6300A 3p F VR</t>
  </si>
  <si>
    <t>E6H 6300 PR112/P-LSIG-In=6300A 3p F F</t>
  </si>
  <si>
    <t>E6H 6300 PR112/P-LSIG-In=6300A 3p F HR</t>
  </si>
  <si>
    <t>E6H 6300 PR112/P-LSIG-In=6300A 3p F VR</t>
  </si>
  <si>
    <t>E6H 6300 PR112/P-LSI-In=6300A 3p F F</t>
  </si>
  <si>
    <t>E6H 6300 PR112/P-LSI-In=6300A 3p F HR</t>
  </si>
  <si>
    <t>E6H 6300 PR112/P-LSI-In=6300A 3p F VR</t>
  </si>
  <si>
    <t>E6V 6300 PR111/P-LI-In=6300A 3p F F</t>
  </si>
  <si>
    <t>E6V 6300 PR111/P-LI-In=6300A 3p F HR</t>
  </si>
  <si>
    <t>E6V 6300 PR111/P-LI-In=6300A 3p F VR</t>
  </si>
  <si>
    <t>E6V 6300 PR111/P-LSIG-In=6300A 3p F F</t>
  </si>
  <si>
    <t>E6V 6300 PR111/P-LSIG-In=6300A 3p F HR</t>
  </si>
  <si>
    <t>E6V 6300 PR111/P-LSIG-In=6300A 3p F VR</t>
  </si>
  <si>
    <t>E6V 6300 PR111/P-LSI-In=6300A 3p F F</t>
  </si>
  <si>
    <t>E6V 6300 PR111/P-LSI-In=6300A 3p F HR</t>
  </si>
  <si>
    <t>E6V 6300 PR111/P-LSI-In=6300A 3p F VR</t>
  </si>
  <si>
    <t>E6V 6300 PR112/P-LSIG-In=6300A 3p F F</t>
  </si>
  <si>
    <t>E6V 6300 PR112/P-LSIG-In=6300A 3p F HR</t>
  </si>
  <si>
    <t>E6V 6300 PR112/P-LSIG-In=6300A 3p F VR</t>
  </si>
  <si>
    <t>E6V 6300 PR112/P-LSI-In=6300A 3p F F</t>
  </si>
  <si>
    <t>E6V 6300 PR112/P-LSI-In=6300A 3p F HR</t>
  </si>
  <si>
    <t>E6V 6300 PR112/P-LSI-In=6300A 3p F VR</t>
  </si>
  <si>
    <t>E6V 3200 PR111/P-LI-In=3200A 3p W MP</t>
  </si>
  <si>
    <t>E6V 3200 PR111/P-LSIG-In=3200A 3p W MP</t>
  </si>
  <si>
    <t>E6V 3200 PR111/P-LSI-In=3200A 3p W MP</t>
  </si>
  <si>
    <t>E6V 3200 PR112/P-LSIG-In=3200A 3p W MP</t>
  </si>
  <si>
    <t>E6V 3200 PR112/P-LSI-In=3200A 3p W MP</t>
  </si>
  <si>
    <t>E6V 4000 PR111/P-LI-In=4000A 3p W MP</t>
  </si>
  <si>
    <t>E6V 4000 PR111/P-LSIG-In=4000A 3p W MP</t>
  </si>
  <si>
    <t>E6V 4000 PR111/P-LSI-In=4000A 3p W MP</t>
  </si>
  <si>
    <t>E6V 4000 PR112/P-LSIG-In=4000A 3p W MP</t>
  </si>
  <si>
    <t>E6V 4000 PR112/P-LSI-In=4000A 3p W MP</t>
  </si>
  <si>
    <t>E6H 5000 PR111/P-LI-In=5000A 3p W MP</t>
  </si>
  <si>
    <t>E6H 5000 PR111/P-LSIG-In=5000A 3p W MP</t>
  </si>
  <si>
    <t>E6H 5000 PR111/P-LSI-In=5000A 3p W MP</t>
  </si>
  <si>
    <t>E6H 5000 PR112/P-LSIG-In=5000A 3p W MP</t>
  </si>
  <si>
    <t>E6H 5000 PR112/P-LSI-In=5000A 3p W MP</t>
  </si>
  <si>
    <t>E6V 5000 PR111/P-LI-In=5000A 3p W MP</t>
  </si>
  <si>
    <t>E6V 5000 PR111/P-LSIG-In=5000A 3p W MP</t>
  </si>
  <si>
    <t>1SDA039442R0001</t>
  </si>
  <si>
    <t>1SDA039461R0001</t>
  </si>
  <si>
    <t>1SDA039417R0001</t>
  </si>
  <si>
    <t>1SDA039439R0001</t>
  </si>
  <si>
    <t>1SDA040035R0001</t>
  </si>
  <si>
    <t>1SDA039991R0001</t>
  </si>
  <si>
    <t>1SDA040013R0001</t>
  </si>
  <si>
    <t>1SDA040041R0001</t>
  </si>
  <si>
    <t>1SDA039997R0001</t>
  </si>
  <si>
    <t>1SDA040019R0001</t>
  </si>
  <si>
    <t>1SDA040038R0001</t>
  </si>
  <si>
    <t>1SDA039994R0001</t>
  </si>
  <si>
    <t>1SDA040016R0001</t>
  </si>
  <si>
    <t>1SDA040047R0001</t>
  </si>
  <si>
    <t>1SDA040003R0001</t>
  </si>
  <si>
    <t>1SDA040025R0001</t>
  </si>
  <si>
    <t>1SDA040044R0001</t>
  </si>
  <si>
    <t>1SDA040000R0001</t>
  </si>
  <si>
    <t>1SDA040022R0001</t>
  </si>
  <si>
    <t>1SDA040584R0001</t>
  </si>
  <si>
    <t>1SDA040540R0001</t>
  </si>
  <si>
    <t>1SDA040562R0001</t>
  </si>
  <si>
    <t>1SDA040590R0001</t>
  </si>
  <si>
    <t>1SDA040546R0001</t>
  </si>
  <si>
    <t>1SDA040568R0001</t>
  </si>
  <si>
    <t>1SDA040587R0001</t>
  </si>
  <si>
    <t>1SDA040543R0001</t>
  </si>
  <si>
    <t>1SDA040565R0001</t>
  </si>
  <si>
    <t>1SDA040596R0001</t>
  </si>
  <si>
    <t>1SDA040552R0001</t>
  </si>
  <si>
    <t>1SDA040574R0001</t>
  </si>
  <si>
    <t>1SDA040593R0001</t>
  </si>
  <si>
    <t>E3H/E 25 verze pro 1000V AC (příd. kód)</t>
  </si>
  <si>
    <t>1SDA048536R0001</t>
  </si>
  <si>
    <t>E3H/E 32 verze pro 1000V AC (příd. kód)</t>
  </si>
  <si>
    <t>1SDA048537R0001</t>
  </si>
  <si>
    <t>E4H/E 32 verze pro 1000V AC (příd. kód)</t>
  </si>
  <si>
    <t>1SDA048538R0001</t>
  </si>
  <si>
    <t>E4H/E 40 verze pro 1000V AC (příd. kód)</t>
  </si>
  <si>
    <t>1000 V AC</t>
  </si>
  <si>
    <t>ok</t>
  </si>
  <si>
    <t>E1/2 3p. E4/6 3p./4p.</t>
  </si>
  <si>
    <t>W</t>
  </si>
  <si>
    <t>15x pomocný kontakt pro digitální signály (externí) F</t>
  </si>
  <si>
    <t>15x pomocný kontakt pro digitální signály (externí) W</t>
  </si>
  <si>
    <t>Pom. Kont</t>
  </si>
  <si>
    <t>Odpínač:</t>
  </si>
  <si>
    <t>Zlacené pomocné kontakty (vestavěné):</t>
  </si>
  <si>
    <t>2+2</t>
  </si>
  <si>
    <t>5+5</t>
  </si>
  <si>
    <t>zlacení</t>
  </si>
  <si>
    <t>10 rozšiř.</t>
  </si>
  <si>
    <t>2+2 st.</t>
  </si>
  <si>
    <t>5+5 st.</t>
  </si>
  <si>
    <t>jist.</t>
  </si>
  <si>
    <t>1SDA043361R0001</t>
  </si>
  <si>
    <t>1SDA039875R0001</t>
  </si>
  <si>
    <t>1SDA039883R0001</t>
  </si>
  <si>
    <t>1SDA039879R0001</t>
  </si>
  <si>
    <t>1SDA039891R0001</t>
  </si>
  <si>
    <t>1SDA039887R0001</t>
  </si>
  <si>
    <t>1SDA040424R0001</t>
  </si>
  <si>
    <t>1SDA040432R0001</t>
  </si>
  <si>
    <t>1SDA040428R0001</t>
  </si>
  <si>
    <t>1SDA040440R0001</t>
  </si>
  <si>
    <t>1SDA040436R0001</t>
  </si>
  <si>
    <t>1SDA039474R0001</t>
  </si>
  <si>
    <t>1SDA039480R0001</t>
  </si>
  <si>
    <t>1SDA039477R0001</t>
  </si>
  <si>
    <t>1SDA039486R0001</t>
  </si>
  <si>
    <t>1SDA039483R0001</t>
  </si>
  <si>
    <t>1SDA040057R0001</t>
  </si>
  <si>
    <t>1SDA040064R0001</t>
  </si>
  <si>
    <t>1SDA040060R0001</t>
  </si>
  <si>
    <t>1SDA040069R0001</t>
  </si>
  <si>
    <t>1SDA040066R0001</t>
  </si>
  <si>
    <t>1SDA040606R0001</t>
  </si>
  <si>
    <t>1SDA040612R0001</t>
  </si>
  <si>
    <t>1SDA040609R0001</t>
  </si>
  <si>
    <t>1SDA040618R0001</t>
  </si>
  <si>
    <t>1SDA040615R0001</t>
  </si>
  <si>
    <t>1SDA039650R0001</t>
  </si>
  <si>
    <t>1SDA039656R0001</t>
  </si>
  <si>
    <t>1SDA039653R0001</t>
  </si>
  <si>
    <t>1SDA039662R0001</t>
  </si>
  <si>
    <t>E3H 2000 PR111/P-LSI-In=2000A 3p F F</t>
  </si>
  <si>
    <t>E3H 2000 PR111/P-LSI-In=2000A 3p F HR</t>
  </si>
  <si>
    <t>E3H 2000 PR111/P-LSI-In=2000A 3p F VR</t>
  </si>
  <si>
    <t>E3H 2000 PR112/P-LSIG-In=2000A 3p F F</t>
  </si>
  <si>
    <t>E3H 2000 PR112/P-LSIG-In=2000A 3p F HR</t>
  </si>
  <si>
    <t>E3H 2000 PR112/P-LSIG-In=2000A 3p F VR</t>
  </si>
  <si>
    <t>E3H 2000 PR112/P-LSI-In=2000A 3p F F</t>
  </si>
  <si>
    <t>E3H 2000 PR112/P-LSI-In=2000A 3p F HR</t>
  </si>
  <si>
    <t>E3H 2000 PR112/P-LSI-In=2000A 3p F VR</t>
  </si>
  <si>
    <t>E3L 2000 PR111/P-LI-In=2000A 3p F F</t>
  </si>
  <si>
    <t>E3L</t>
  </si>
  <si>
    <t>E3L 2000 PR111/P-LI-In=2000A 3p F HR</t>
  </si>
  <si>
    <t>E3L 2000 PR111/P-LI-In=2000A 3p F VR</t>
  </si>
  <si>
    <t>E3L 2000 PR111/P-LSIG-In=2000A 3p F F</t>
  </si>
  <si>
    <t>E3L 2000 PR111/P-LSIG-In=2000A 3p F HR</t>
  </si>
  <si>
    <t>E3L 2000 PR111/P-LSIG-In=2000A 3p F VR</t>
  </si>
  <si>
    <t>E3L 2000 PR111/P-LSI-In=2000A 3p F F</t>
  </si>
  <si>
    <t>E3L 2000 PR111/P-LSI-In=2000A 3p F HR</t>
  </si>
  <si>
    <t>E3L 2000 PR111/P-LSI-In=2000A 3p F VR</t>
  </si>
  <si>
    <t>E3L 2000 PR112/P-LSIG-In=2000A 3p F F</t>
  </si>
  <si>
    <t>E3L 2000 PR112/P-LSIG-In=2000A 3p F HR</t>
  </si>
  <si>
    <t>E3L 2000 PR112/P-LSIG-In=2000A 3p F VR</t>
  </si>
  <si>
    <t>E3L 2000 PR112/P-LSI-In=2000A 3p F F</t>
  </si>
  <si>
    <t>E3L 2000 PR112/P-LSI-In=2000A 3p F HR</t>
  </si>
  <si>
    <t>E3L 2000 PR112/P-LSI-In=2000A 3p F VR</t>
  </si>
  <si>
    <t>E3N 2500 PR111/P-LI-In=2500A 3p F F</t>
  </si>
  <si>
    <t>1SDA039925R0001</t>
  </si>
  <si>
    <t>1SDA039953R0001</t>
  </si>
  <si>
    <t>1SDA039909R0001</t>
  </si>
  <si>
    <t>1SDA039931R0001</t>
  </si>
  <si>
    <t>1SDA039950R0001</t>
  </si>
  <si>
    <t>1SDA039906R0001</t>
  </si>
  <si>
    <t>Základna s druhou vypínací cívkou 120/127V</t>
  </si>
  <si>
    <t>Základna s druhou vypínací cívkou 240/250V</t>
  </si>
  <si>
    <t>Základna s druhou vypínací cívkou 380/400V</t>
  </si>
  <si>
    <t>1SDA041249R0001</t>
  </si>
  <si>
    <t>1SDA041264R0001</t>
  </si>
  <si>
    <t>1SDA041283R0001</t>
  </si>
  <si>
    <t>1SDA041253R0001</t>
  </si>
  <si>
    <t>1SDA041268R0001</t>
  </si>
  <si>
    <t>1SDA041281R0001</t>
  </si>
  <si>
    <t>1SDA041251R0001</t>
  </si>
  <si>
    <t>1SDA041266R0001</t>
  </si>
  <si>
    <t>1SDA041287R0001</t>
  </si>
  <si>
    <t>1SDA041257R0001</t>
  </si>
  <si>
    <t>1SDA041272R0001</t>
  </si>
  <si>
    <t>1SDA041285R0001</t>
  </si>
  <si>
    <t>1SDA041255R0001</t>
  </si>
  <si>
    <t>1SDA041270R0001</t>
  </si>
  <si>
    <t>1SDA041879R0001</t>
  </si>
  <si>
    <t>1SDA041849R0001</t>
  </si>
  <si>
    <t>1SDA041864R0001</t>
  </si>
  <si>
    <t>1SDA041883R0001</t>
  </si>
  <si>
    <t>1SDA041853R0001</t>
  </si>
  <si>
    <t>1SDA041868R0001</t>
  </si>
  <si>
    <t>E4H/MS 3200  4p F VR</t>
  </si>
  <si>
    <t>E6H/MS 5000  4p F VR</t>
  </si>
  <si>
    <t>E6H/MS 6300  4p F VR</t>
  </si>
  <si>
    <t>E6H/MS 6300  3p F VR</t>
  </si>
  <si>
    <t>E6H/MS 5000  3p F VR</t>
  </si>
  <si>
    <t>E1B/MS  800  3p W MP</t>
  </si>
  <si>
    <t>1SDA038295R0001</t>
  </si>
  <si>
    <t>1SDA038296R0001</t>
  </si>
  <si>
    <t>1SDA038297R0001</t>
  </si>
  <si>
    <t>1SDA038298R0001</t>
  </si>
  <si>
    <t>1SDA038299R0001</t>
  </si>
  <si>
    <t>1SDA038300R0001</t>
  </si>
  <si>
    <t>1SDA038301R0001</t>
  </si>
  <si>
    <t>1SDA038302R0001</t>
  </si>
  <si>
    <t>1SDA038303R0001</t>
  </si>
  <si>
    <t>1SDA038304R0001</t>
  </si>
  <si>
    <t>1SDA038305R0001</t>
  </si>
  <si>
    <t>1SDA038306R0001</t>
  </si>
  <si>
    <t>1SDA038307R0001</t>
  </si>
  <si>
    <t>1SDA038308R0001</t>
  </si>
  <si>
    <t>1SDA038309R0001</t>
  </si>
  <si>
    <t>1SDA038310R0001</t>
  </si>
  <si>
    <t>1SDA038311R0001</t>
  </si>
  <si>
    <t>1SDA038312R0001</t>
  </si>
  <si>
    <t>1SDA038313R0001</t>
  </si>
  <si>
    <t>1SDA038314R0001</t>
  </si>
  <si>
    <t>1SDA038315R0001</t>
  </si>
  <si>
    <t>1SDA038316R0001</t>
  </si>
  <si>
    <t>1SDA038317R0001</t>
  </si>
  <si>
    <t>1SDA038318R0001</t>
  </si>
  <si>
    <t>1SDA038319R0001</t>
  </si>
  <si>
    <t>1SDA038320R0001</t>
  </si>
  <si>
    <t>1SDA038321R0001</t>
  </si>
  <si>
    <t>1SDA038322R0001</t>
  </si>
  <si>
    <t>1SDA038323R0001</t>
  </si>
  <si>
    <t>1SDA038324R0001</t>
  </si>
  <si>
    <t>1SDA038337R0001</t>
  </si>
  <si>
    <t>1SDA038338R0001</t>
  </si>
  <si>
    <t>1SDA046523R0001</t>
  </si>
  <si>
    <t>1SDA043475R0001</t>
  </si>
  <si>
    <t>1SDA048827R0001</t>
  </si>
  <si>
    <t>1SDA038361R0001</t>
  </si>
  <si>
    <t>1SDA038360R0001</t>
  </si>
  <si>
    <t>1SDA043467R0001</t>
  </si>
  <si>
    <t>1SDA043468R0001</t>
  </si>
  <si>
    <t>1SDA043469R0001</t>
  </si>
  <si>
    <t>1SDA043470R0001</t>
  </si>
  <si>
    <t>1SDA038340R0001</t>
  </si>
  <si>
    <t>1SDA038341R0001</t>
  </si>
  <si>
    <t>1SDA038345R0001</t>
  </si>
  <si>
    <t>1SDA038350R0001</t>
  </si>
  <si>
    <t>1SDA038346R0001</t>
  </si>
  <si>
    <t>1SDA038347R0001</t>
  </si>
  <si>
    <t>1SDA038348R0001</t>
  </si>
  <si>
    <t>1SDA038349R0001</t>
  </si>
  <si>
    <t>1SDA038351R0001</t>
  </si>
  <si>
    <t>1SDA038356R0001</t>
  </si>
  <si>
    <t>1SDA038352R0001</t>
  </si>
  <si>
    <t>1SDA038353R0001</t>
  </si>
  <si>
    <t>1SDA038354R0001</t>
  </si>
  <si>
    <t>1SDA038355R0001</t>
  </si>
  <si>
    <t>1SDA038357R0001</t>
  </si>
  <si>
    <t>1SDA038363R0001</t>
  </si>
  <si>
    <t>1SDA045039R0001</t>
  </si>
  <si>
    <t>1SDA038343R0001</t>
  </si>
  <si>
    <t>1SDA038344R0001</t>
  </si>
  <si>
    <t>1SDA038286R0001</t>
  </si>
  <si>
    <t>1SDA037528R0001</t>
  </si>
  <si>
    <t>1SDA037529R0001</t>
  </si>
  <si>
    <t>1SDA037530R0001</t>
  </si>
  <si>
    <t>1SDA037531R0001</t>
  </si>
  <si>
    <t>1SDA037532R0001</t>
  </si>
  <si>
    <t>1SDA037533R0001</t>
  </si>
  <si>
    <t>1SDA037534R0001</t>
  </si>
  <si>
    <t>1SDA037535R0001</t>
  </si>
  <si>
    <t>1SDA037536R0001</t>
  </si>
  <si>
    <t>1SDA037537R0001</t>
  </si>
  <si>
    <t>1SDA037538R0001</t>
  </si>
  <si>
    <t>1SDA037539R0001</t>
  </si>
  <si>
    <t>1SDA037540R0001</t>
  </si>
  <si>
    <t>1SDA037546R0001</t>
  </si>
  <si>
    <t>1SDA037547R0001</t>
  </si>
  <si>
    <t>1SDA037548R0001</t>
  </si>
  <si>
    <t>1SDA037549R0001</t>
  </si>
  <si>
    <t>1SDA037550R0001</t>
  </si>
  <si>
    <t>1SDA037555R0001</t>
  </si>
  <si>
    <t>1SDA037556R0001</t>
  </si>
  <si>
    <t>1SDA037557R0001</t>
  </si>
  <si>
    <t>1SDA037558R0001</t>
  </si>
  <si>
    <t>1SDA037559R0001</t>
  </si>
  <si>
    <t>1SDA037560R0001</t>
  </si>
  <si>
    <t>1SDA037561R0001</t>
  </si>
  <si>
    <t>1SDA037562R0001</t>
  </si>
  <si>
    <t>1SDA037563R0001</t>
  </si>
  <si>
    <t>1SDA037564R0001</t>
  </si>
  <si>
    <t>1SDA037565R0001</t>
  </si>
  <si>
    <t>1SDA037566R0001</t>
  </si>
  <si>
    <t>1SDA037567R0001</t>
  </si>
  <si>
    <t>1SDA037568R0001</t>
  </si>
  <si>
    <t>1SDA037574R0001</t>
  </si>
  <si>
    <t>1SDA037575R0001</t>
  </si>
  <si>
    <t>1SDA037576R0001</t>
  </si>
  <si>
    <t>1SDA037577R0001</t>
  </si>
  <si>
    <t>1SDA037578R0001</t>
  </si>
  <si>
    <t>1SDA037583R0001</t>
  </si>
  <si>
    <t>1SDA037584R0001</t>
  </si>
  <si>
    <t>1SDA037585R0001</t>
  </si>
  <si>
    <t>1SDA037586R0001</t>
  </si>
  <si>
    <t>1SDA037587R0001</t>
  </si>
  <si>
    <t>1SDA037588R0001</t>
  </si>
  <si>
    <t>1SDA037589R0001</t>
  </si>
  <si>
    <t>1SDA037590R0001</t>
  </si>
  <si>
    <t>1SDA037591R0001</t>
  </si>
  <si>
    <t>1SDA037592R0001</t>
  </si>
  <si>
    <t>1SDA037593R0001</t>
  </si>
  <si>
    <t>1SDA037594R0001</t>
  </si>
  <si>
    <t>1SDA037595R0001</t>
  </si>
  <si>
    <t>1SDA037596R0001</t>
  </si>
  <si>
    <t>1SDA037597R0001</t>
  </si>
  <si>
    <t>1SDA037598R0001</t>
  </si>
  <si>
    <t>1SDA037599R0001</t>
  </si>
  <si>
    <t>1SDA037600R0001</t>
  </si>
  <si>
    <t>1SDA037601R0001</t>
  </si>
  <si>
    <t>1SDA037602R0001</t>
  </si>
  <si>
    <t>1SDA037603R0001</t>
  </si>
  <si>
    <t>1SDA037604R0001</t>
  </si>
  <si>
    <t>1SDA037605R0001</t>
  </si>
  <si>
    <t>1SDA037606R0001</t>
  </si>
  <si>
    <t>1SDA037607R0001</t>
  </si>
  <si>
    <t>1SDA037608R0001</t>
  </si>
  <si>
    <t>1SDA037609R0001</t>
  </si>
  <si>
    <t>1SDA037610R0001</t>
  </si>
  <si>
    <t>1SDA037621R0001</t>
  </si>
  <si>
    <t>1SDA037622R0001</t>
  </si>
  <si>
    <t>1SDA037623R0001</t>
  </si>
  <si>
    <t>1SDA037624R0001</t>
  </si>
  <si>
    <t>1SDA037625R0001</t>
  </si>
  <si>
    <t>1SDA037626R0001</t>
  </si>
  <si>
    <t>1SDA037627R0001</t>
  </si>
  <si>
    <t>1SDA037628R0001</t>
  </si>
  <si>
    <t>1SDA037629R0001</t>
  </si>
  <si>
    <t>1SDA037630R0001</t>
  </si>
  <si>
    <t>1SDA037639R0001</t>
  </si>
  <si>
    <t>1SDA037640R0001</t>
  </si>
  <si>
    <t>1SDA037641R0001</t>
  </si>
  <si>
    <t>1SDA037642R0001</t>
  </si>
  <si>
    <t>1SDA037643R0001</t>
  </si>
  <si>
    <t>1SDA037644R0001</t>
  </si>
  <si>
    <t>1SDA037645R0001</t>
  </si>
  <si>
    <t>1SDA037646R0001</t>
  </si>
  <si>
    <t>1SDA037647R0001</t>
  </si>
  <si>
    <t>1SDA037648R0001</t>
  </si>
  <si>
    <t>1SDA037649R0001</t>
  </si>
  <si>
    <t>1SDA037650R0001</t>
  </si>
  <si>
    <t>1SDA037651R0001</t>
  </si>
  <si>
    <t>1SDA037652R0001</t>
  </si>
  <si>
    <t>1SDA037653R0001</t>
  </si>
  <si>
    <t>1SDA037654R0001</t>
  </si>
  <si>
    <t>1SDA037655R0001</t>
  </si>
  <si>
    <t>1SDA037656R0001</t>
  </si>
  <si>
    <t>1SDA037657R0001</t>
  </si>
  <si>
    <t>1SDA037658R0001</t>
  </si>
  <si>
    <t>1SDA037659R0001</t>
  </si>
  <si>
    <t>1SDA037660R0001</t>
  </si>
  <si>
    <t>1SDA037661R0001</t>
  </si>
  <si>
    <t>1SDA037662R0001</t>
  </si>
  <si>
    <t>1SDA037663R0001</t>
  </si>
  <si>
    <t>1SDA037664R0001</t>
  </si>
  <si>
    <t>1SDA037665R0001</t>
  </si>
  <si>
    <t>1SDA037666R0001</t>
  </si>
  <si>
    <t>1SDA037677R0001</t>
  </si>
  <si>
    <t>1SDA037678R0001</t>
  </si>
  <si>
    <t>1SDA037679R0001</t>
  </si>
  <si>
    <t>1SDA037680R0001</t>
  </si>
  <si>
    <t>1SDA037681R0001</t>
  </si>
  <si>
    <t>1SDA037682R0001</t>
  </si>
  <si>
    <t>1SDA037683R0001</t>
  </si>
  <si>
    <t>1SDA037684R0001</t>
  </si>
  <si>
    <t>1SDA037685R0001</t>
  </si>
  <si>
    <t>1SDA037686R0001</t>
  </si>
  <si>
    <t>1SDA037695R0001</t>
  </si>
  <si>
    <t>1SDA037696R0001</t>
  </si>
  <si>
    <t>1SDA037697R0001</t>
  </si>
  <si>
    <t>1SDA037698R0001</t>
  </si>
  <si>
    <t>1SDA037699R0001</t>
  </si>
  <si>
    <t>1SDA037700R0001</t>
  </si>
  <si>
    <t>E3N</t>
  </si>
  <si>
    <t>E3N 2500 PR111/P-LI-In=2500A 3p F HR</t>
  </si>
  <si>
    <t>E3N 2500 PR111/P-LI-In=2500A 3p F VR</t>
  </si>
  <si>
    <t>E3L 2500 PR111/P-LI-In=2500A 4p W MP</t>
  </si>
  <si>
    <t>Odpínač</t>
  </si>
  <si>
    <t>Zadní vodorovné (HR)</t>
  </si>
  <si>
    <t>Zadní svislé (VR)</t>
  </si>
  <si>
    <t>Přední (F)</t>
  </si>
  <si>
    <t>Zadní naplocho (FL)</t>
  </si>
  <si>
    <t>Pevné:</t>
  </si>
  <si>
    <t>Výsuvné:</t>
  </si>
  <si>
    <t>HR-VR</t>
  </si>
  <si>
    <t>VR-HR</t>
  </si>
  <si>
    <t>F-HR</t>
  </si>
  <si>
    <t>F-VR</t>
  </si>
  <si>
    <t>HR-FL</t>
  </si>
  <si>
    <t>VR-FL</t>
  </si>
  <si>
    <t>F-FL</t>
  </si>
  <si>
    <t>FL-HR</t>
  </si>
  <si>
    <t>FL-VR</t>
  </si>
  <si>
    <t>Základna s druhou vypínací cívkou 440V stř.</t>
  </si>
  <si>
    <t>DV02</t>
  </si>
  <si>
    <t>DV03</t>
  </si>
  <si>
    <t>DV04</t>
  </si>
  <si>
    <t>DV05</t>
  </si>
  <si>
    <t>DV06</t>
  </si>
  <si>
    <t>DV07</t>
  </si>
  <si>
    <t>DV08</t>
  </si>
  <si>
    <t>DV09</t>
  </si>
  <si>
    <t>DV10</t>
  </si>
  <si>
    <t>DV01</t>
  </si>
  <si>
    <t>DEL YU</t>
  </si>
  <si>
    <t>Sig YU</t>
  </si>
  <si>
    <t>YU/YO2</t>
  </si>
  <si>
    <t>Zpoždění podpěťové cívky</t>
  </si>
  <si>
    <t>Pouze pro ovl. napětí do 250 V!</t>
  </si>
  <si>
    <t>Zamysli se nad sebou!</t>
  </si>
  <si>
    <t>Proč požaduješ druhou vypínací cívku, když nechceš tu první?</t>
  </si>
  <si>
    <t>Příslušenství pro mech. blokování  E4 4p. - E6 3p.</t>
  </si>
  <si>
    <t>E2B/MS 1600  3p F HR</t>
  </si>
  <si>
    <t>15 ext. pom. kontaktů</t>
  </si>
  <si>
    <t>A - vedle sebe</t>
  </si>
  <si>
    <t>B - vedle sebe</t>
  </si>
  <si>
    <t>C - vedle sebe</t>
  </si>
  <si>
    <t>D - vedle sebe</t>
  </si>
  <si>
    <t>B - pod sebe</t>
  </si>
  <si>
    <t>C - pod sebe</t>
  </si>
  <si>
    <t>D - pod sebe</t>
  </si>
  <si>
    <t>A - pod sebe</t>
  </si>
  <si>
    <t>Vzájemné blokování jističů</t>
  </si>
  <si>
    <t>Master</t>
  </si>
  <si>
    <t>Vzájemné blokování jističů:</t>
  </si>
  <si>
    <t>Master:</t>
  </si>
  <si>
    <t>Nelze s ext. pom. kont. / vzáj. blok. jističů</t>
  </si>
  <si>
    <t>Nelze s blokováním dveří / vzáj. blok. jističů</t>
  </si>
  <si>
    <t>15 pom. kont.:</t>
  </si>
  <si>
    <t>Blok. dveří</t>
  </si>
  <si>
    <t>10.2)</t>
  </si>
  <si>
    <t>10.1)</t>
  </si>
  <si>
    <t>B</t>
  </si>
  <si>
    <t>Typ blokování:</t>
  </si>
  <si>
    <t>10x pomocný kontakt</t>
  </si>
  <si>
    <t>Sliding contact for MP ACB E1/6</t>
  </si>
  <si>
    <t>Bovdeny blokování 2CB.S HORIZ.  -A- E1/6</t>
  </si>
  <si>
    <t>Bovdeny blokování 3CB.S HORIZ.  -B-  E1/6</t>
  </si>
  <si>
    <t>Bovdeny blokování 3CB.S HORIZ.  -C-  E1/6</t>
  </si>
  <si>
    <t>Bovdeny blokování 3CB.S HORIZ.  -D-  E1/6</t>
  </si>
  <si>
    <t>Bovdeny blokování 2CB.S VERT.  -A-  E1/6</t>
  </si>
  <si>
    <t>Bovdeny blokování 3CB.S VERT.  -B-  E1/6</t>
  </si>
  <si>
    <t>Bovdeny blokování 3CB.S VERT.  -C-  E1/6</t>
  </si>
  <si>
    <t>Bovdeny blokování 3CB.S VERT.  -D-  E1/6</t>
  </si>
  <si>
    <t>Signalizace napájení podp. cívky 1/0</t>
  </si>
  <si>
    <t>Signalizace napájení podp. cívky 0/1</t>
  </si>
  <si>
    <t>E1B/MS 1250  3p W MP</t>
  </si>
  <si>
    <t>E1B/MS 1250  4p W MP</t>
  </si>
  <si>
    <t>E1B/MS  800  4p W MP</t>
  </si>
  <si>
    <t>E2B/MS 1600  4p W MP</t>
  </si>
  <si>
    <t>E2B/MS 2000  4p W MP</t>
  </si>
  <si>
    <t>E2B/MS 2000  3p W MP</t>
  </si>
  <si>
    <t>E2B/MS 1600  3p W MP</t>
  </si>
  <si>
    <t>Prov.</t>
  </si>
  <si>
    <t>Svorky</t>
  </si>
  <si>
    <t>spoušť</t>
  </si>
  <si>
    <t>Pevné</t>
  </si>
  <si>
    <t>Zadní vodorovné</t>
  </si>
  <si>
    <t>PR111</t>
  </si>
  <si>
    <t>Počet pólů</t>
  </si>
  <si>
    <t>Výsuvné</t>
  </si>
  <si>
    <t>Zadní svislé</t>
  </si>
  <si>
    <t>PR112</t>
  </si>
  <si>
    <t>Provedení</t>
  </si>
  <si>
    <t>Přední</t>
  </si>
  <si>
    <t>Spoušť</t>
  </si>
  <si>
    <t>Velikost</t>
  </si>
  <si>
    <t>Ics + Icw</t>
  </si>
  <si>
    <t>Ochr.</t>
  </si>
  <si>
    <t>Ochrany</t>
  </si>
  <si>
    <t>E2N 2000 PR111/P-LI-In=2000A 3p F HR</t>
  </si>
  <si>
    <t>E2N 2000 PR111/P-LI-In=2000A 3p F VR</t>
  </si>
  <si>
    <t>Typ bovdenů:</t>
  </si>
  <si>
    <t>Vedle sebe</t>
  </si>
  <si>
    <t>Pod sebou</t>
  </si>
  <si>
    <t>W1</t>
  </si>
  <si>
    <t>W2</t>
  </si>
  <si>
    <t>Nelze s ext. kont. / blok. dv.</t>
  </si>
  <si>
    <t>Zvolit pouze jeden Master pro jednu blokovanou sestavu.</t>
  </si>
  <si>
    <t>E3S 1250 PR111/P-LSI-In=1250A 3p F VR</t>
  </si>
  <si>
    <t>E3S 1250 PR112/P-LSIG-In=1250A 3p F F</t>
  </si>
  <si>
    <t>E3S 1250 PR112/P-LSIG-In=1250A 3p F HR</t>
  </si>
  <si>
    <t>E3S 1250 PR112/P-LSIG-In=1250A 3p F VR</t>
  </si>
  <si>
    <t>E3S 1250 PR112/P-LSI-In=1250A 3p F F</t>
  </si>
  <si>
    <t>E3S 1250 PR112/P-LSI-In=1250A 3p F HR</t>
  </si>
  <si>
    <t>E3S 1250 PR112/P-LSI-In=1250A 3p F VR</t>
  </si>
  <si>
    <t>E3H 1250 PR111/P-LI-In=1250A 3p F F</t>
  </si>
  <si>
    <t>E3H</t>
  </si>
  <si>
    <t>E3H 1250 PR111/P-LI-In=1250A 3p F HR</t>
  </si>
  <si>
    <t>E3H 1250 PR111/P-LI-In=1250A 3p F VR</t>
  </si>
  <si>
    <t>E6V 6300 PR112/P-LSIG-In=6300A 4p F VR</t>
  </si>
  <si>
    <t>E6V 6300 PR112/P-LSI-In=6300A 4p F F</t>
  </si>
  <si>
    <t>E6V 6300 PR112/P-LSI-In=6300A 4p F HR</t>
  </si>
  <si>
    <t>E6V 6300 PR112/P-LSI-In=6300A 4p F VR</t>
  </si>
  <si>
    <t>E6V 3200 PR111/P-LI-In=3200A 4p W MP</t>
  </si>
  <si>
    <t>E6V 3200 PR111/P-LSIG-In=3200A 4p W MP</t>
  </si>
  <si>
    <t>E6V 3200 PR111/P-LSI-In=3200A 4p W MP</t>
  </si>
  <si>
    <t>E6V 3200 PR112/P-LSIG-In=3200A 4p W MP</t>
  </si>
  <si>
    <t>E6V 3200 PR112/P-LSI-In=3200A 4p W MP</t>
  </si>
  <si>
    <t>E6V 4000 PR111/P-LI-In=4000A 4p W MP</t>
  </si>
  <si>
    <t>Test na jistič/vypínač:</t>
  </si>
  <si>
    <t>Funkce</t>
  </si>
  <si>
    <t>Zkratová odolnost Icu</t>
  </si>
  <si>
    <t>Výdržný proud (1s) Icw</t>
  </si>
  <si>
    <t>Zadej Icu!</t>
  </si>
  <si>
    <t>Zadej Icw!</t>
  </si>
  <si>
    <t>Zadej ochrany!</t>
  </si>
  <si>
    <t>MS</t>
  </si>
  <si>
    <t xml:space="preserve">E1B/MS </t>
  </si>
  <si>
    <t xml:space="preserve">E2N/MS </t>
  </si>
  <si>
    <t xml:space="preserve">E2B/MS </t>
  </si>
  <si>
    <t>E2N 2000 PR111/P-LSI-In=2000A 3p F F</t>
  </si>
  <si>
    <t>E2N 2000 PR111/P-LSI-In=2000A 3p F HR</t>
  </si>
  <si>
    <t>E2N 2000 PR111/P-LSI-In=2000A 3p F VR</t>
  </si>
  <si>
    <t>E2N 2000 PR112/P-LSIG-In=2000A 3p F F</t>
  </si>
  <si>
    <t>E2N 2000 PR112/P-LSIG-In=2000A 3p F HR</t>
  </si>
  <si>
    <t>E2N 2000 PR112/P-LSIG-In=2000A 3p F VR</t>
  </si>
  <si>
    <t>E2N 2000 PR112/P-LSI-In=2000A 3p F F</t>
  </si>
  <si>
    <t>E2N 2000 PR112/P-LSI-In=2000A 3p F HR</t>
  </si>
  <si>
    <t>E2N 2000 PR112/P-LSI-In=2000A 3p F VR</t>
  </si>
  <si>
    <t>E2N 1250 PR111/P-LI-In=1250A 3p W MP</t>
  </si>
  <si>
    <t>Proudové transformátory 4P  R3200       E6  (příd. kód)</t>
  </si>
  <si>
    <t>1SDA052607R0001</t>
  </si>
  <si>
    <t>Proudové transformátory 4P  R4000       E6  (příd. kód)</t>
  </si>
  <si>
    <t>1SDA048721R0001</t>
  </si>
  <si>
    <t>Plombovatelný kryt pro E1/6</t>
  </si>
  <si>
    <t>1SDA038096R0001</t>
  </si>
  <si>
    <t>Dveřní rámeček E1-E6</t>
  </si>
  <si>
    <t>1SDA050753R0001</t>
  </si>
  <si>
    <t>Retrofit sada E3N 2500 pro Otomax 2PC 2500</t>
  </si>
  <si>
    <t>1SDA048674R0001</t>
  </si>
  <si>
    <t>E4S 4000/F PR111/P-LI-In=4000A 4P F HR</t>
  </si>
  <si>
    <t>1SDA048675R0001</t>
  </si>
  <si>
    <t>E4S 4000/F PR111/P-LSI-In=4000A 4P F HR</t>
  </si>
  <si>
    <t>1SDA048676R0001</t>
  </si>
  <si>
    <t>E4S 4000/F PR111/P-LSIG-In=4000A 4P F HR</t>
  </si>
  <si>
    <t>1SDA048677R0001</t>
  </si>
  <si>
    <t>E4S 4000/F PR112/P-LSI-In=4000A 4P F HR</t>
  </si>
  <si>
    <t>1SDA048678R0001</t>
  </si>
  <si>
    <t>E6V 4000 PR111/P-LSI-In=4000A 3p F HR</t>
  </si>
  <si>
    <t>E6V 4000 PR111/P-LSI-In=4000A 3p F VR</t>
  </si>
  <si>
    <t>E6V 4000 PR112/P-LSIG-In=4000A 3p F F</t>
  </si>
  <si>
    <t>E6V 4000 PR112/P-LSIG-In=4000A 3p F HR</t>
  </si>
  <si>
    <t>E6V 4000 PR112/P-LSIG-In=4000A 3p F VR</t>
  </si>
  <si>
    <t>E6V 4000 PR112/P-LSI-In=4000A 3p F F</t>
  </si>
  <si>
    <t>E6V 4000 PR112/P-LSI-In=4000A 3p F HR</t>
  </si>
  <si>
    <t>E6V 4000 PR112/P-LSI-In=4000A 3p F VR</t>
  </si>
  <si>
    <t>E6H 5000 PR111/P-LI-In=5000A 3p F F</t>
  </si>
  <si>
    <t>E6H</t>
  </si>
  <si>
    <t>E6H 5000 PR111/P-LI-In=5000A 3p F HR</t>
  </si>
  <si>
    <t>E6H 5000 PR111/P-LI-In=5000A 3p F VR</t>
  </si>
  <si>
    <t>E6V 5000 PR111/P-LSIG-In=5000A 3p F VR</t>
  </si>
  <si>
    <t>E6V 5000 PR111/P-LSI-In=5000A 3p F F</t>
  </si>
  <si>
    <t>E6H 5000 PR112/P-LSI-In=5000A 3p F F</t>
  </si>
  <si>
    <r>
      <t xml:space="preserve">100 </t>
    </r>
    <r>
      <rPr>
        <b/>
        <vertAlign val="subscript"/>
        <sz val="10"/>
        <rFont val="Arial CE"/>
        <family val="2"/>
      </rPr>
      <t>(Icw=75kA)</t>
    </r>
  </si>
  <si>
    <r>
      <t xml:space="preserve">100 </t>
    </r>
    <r>
      <rPr>
        <b/>
        <vertAlign val="subscript"/>
        <sz val="10"/>
        <rFont val="Arial CE"/>
        <family val="2"/>
      </rPr>
      <t>(Icw=100kA)</t>
    </r>
  </si>
  <si>
    <t>Kód SAP</t>
  </si>
  <si>
    <t>E2B 2000 PR112/P-LSI-In=2000A 3p W MP</t>
  </si>
  <si>
    <t>Koeficient slevy:</t>
  </si>
  <si>
    <t>Dopočet slev základní:</t>
  </si>
  <si>
    <t>Dopočet slev přísluš jističe:</t>
  </si>
  <si>
    <t>Dopoč. slev PČ</t>
  </si>
  <si>
    <t>Dopoč. slev volného přísl.</t>
  </si>
  <si>
    <t>E1B  800 PR111/P-LSIG-In=800A 3p F VR</t>
  </si>
  <si>
    <t>E1B  800 PR111/P-LSI-In=800A 3p F F</t>
  </si>
  <si>
    <t>E1B  800 PR111/P-LSI-In=800A 3p F HR</t>
  </si>
  <si>
    <t>E1B  800 PR111/P-LSI-In=800A 3p F VR</t>
  </si>
  <si>
    <t>E1B  800 PR112/P-LSIG-In=800A 3p F F</t>
  </si>
  <si>
    <t>E1B  800 PR112/P-LSIG-In=800A 3p F HR</t>
  </si>
  <si>
    <t>E1B  800 PR112/P-LSIG-In=800A 3p F VR</t>
  </si>
  <si>
    <t>E1B  800 PR112/P-LSI-In=800A 3p F F</t>
  </si>
  <si>
    <t>E1B  800 PR112/P-LSI-In=800A 3p F HR</t>
  </si>
  <si>
    <t>E1B  800 PR112/P-LSI-In=800A 3p F VR</t>
  </si>
  <si>
    <t>E1B 1250 PR111/P-LI-In=1250A 3p F F</t>
  </si>
  <si>
    <t>E1B 1250 PR111/P-LI-In=1250A 3p F HR</t>
  </si>
  <si>
    <t>E1B 1250 PR111/P-LI-In=1250A 3p F VR</t>
  </si>
  <si>
    <t>E1B 1250 PR111/P-LSIG-In=1250A 3p F F</t>
  </si>
  <si>
    <t>E1B 1250 PR111/P-LSIG-In=1250A 3p F HR</t>
  </si>
  <si>
    <t>E1B 1250 PR111/P-LSIG-In=1250A 3p F VR</t>
  </si>
  <si>
    <t>E1B 1250 PR111/P-LSI-In=1250A 3p F F</t>
  </si>
  <si>
    <t>E1B 1250 PR111/P-LSI-In=1250A 3p F HR</t>
  </si>
  <si>
    <t>E1B 1250 PR111/P-LSI-In=1250A 3p F VR</t>
  </si>
  <si>
    <t>E1B 1250 PR112/P-LSIG-In=1250A 3p F F</t>
  </si>
  <si>
    <t>E1B 1250 PR112/P-LSIG-In=1250A 3p F HR</t>
  </si>
  <si>
    <t>E1B 1250 PR112/P-LSIG-In=1250A 3p F VR</t>
  </si>
  <si>
    <t>E1B 1250 PR112/P-LSI-In=1250A 3p F F</t>
  </si>
  <si>
    <t>E1B 1250 PR112/P-LSI-In=1250A 3p F HR</t>
  </si>
  <si>
    <t>E1B 1250 PR112/P-LSI-In=1250A 3p F VR</t>
  </si>
  <si>
    <t>E1B  800 PR111/P-LI-In=800A 3p W MP</t>
  </si>
  <si>
    <t>poh. část</t>
  </si>
  <si>
    <t>E6H 5000 PR112/P-LSI-In=5000A 3p F HR</t>
  </si>
  <si>
    <t>E6H 5000 PR112/P-LSI-In=5000A 3p F VR</t>
  </si>
  <si>
    <t>E6V 5000 PR111/P-LI-In=5000A 3p F F</t>
  </si>
  <si>
    <t>E6V 5000 PR111/P-LI-In=5000A 3p F HR</t>
  </si>
  <si>
    <t>E6V 5000 PR111/P-LI-In=5000A 3p F VR</t>
  </si>
  <si>
    <t>E6V 5000 PR111/P-LSIG-In=5000A 3p F F</t>
  </si>
  <si>
    <t>E6V 5000 PR111/P-LSIG-In=5000A 3p F HR</t>
  </si>
  <si>
    <t>E1B 1250 PR112/P-LSIG-In=1250A 3p W MP</t>
  </si>
  <si>
    <t>E1B 1250 PR112/P-LSI-In=1250A 3p W MP</t>
  </si>
  <si>
    <t>E6V 5000 PR111/P-LSI-In=5000A 3p F HR</t>
  </si>
  <si>
    <t>E6V 5000 PR111/P-LSI-In=5000A 3p F VR</t>
  </si>
  <si>
    <t>E6V 5000 PR112/P-LSIG-In=5000A 3p F F</t>
  </si>
  <si>
    <t>E6V 5000 PR112/P-LSIG-In=5000A 3p F HR</t>
  </si>
  <si>
    <t>E1B  800 PR111/P-LSIG-In=800A 4p F HR</t>
  </si>
  <si>
    <t>E1B  800 PR111/P-LSIG-In=800A 4p F VR</t>
  </si>
  <si>
    <t>E1B  800 PR111/P-LSI-In=800A 4p F F</t>
  </si>
  <si>
    <t>E1B  800 PR111/P-LSI-In=800A 4p F HR</t>
  </si>
  <si>
    <t>E1B  800 PR111/P-LSI-In=800A 4p F VR</t>
  </si>
  <si>
    <t>E1B  800 PR112/P-LSIG-In=800A 4p F F</t>
  </si>
  <si>
    <t>E1B  800 PR112/P-LSIG-In=800A 4p F HR</t>
  </si>
  <si>
    <t>E1B  800 PR112/P-LSIG-In=800A 4p F VR</t>
  </si>
  <si>
    <t>E1B  800 PR112/P-LSI-In=800A 4p F F</t>
  </si>
  <si>
    <t>E1B  800 PR112/P-LSI-In=800A 4p F HR</t>
  </si>
  <si>
    <t>E1B  800 PR112/P-LSI-In=800A 4p F VR</t>
  </si>
  <si>
    <t>E1B 1250 PR111/P-LI-In=1250A 4p F F</t>
  </si>
  <si>
    <t>E1B 1250 PR111/P-LI-In=1250A 4p F HR</t>
  </si>
  <si>
    <t>E1B 1250 PR111/P-LI-In=1250A 4p F VR</t>
  </si>
  <si>
    <t>E1B 1250 PR111/P-LSIG-In=1250A 4p F F</t>
  </si>
  <si>
    <t>E1B 1250 PR111/P-LSIG-In=1250A 4p F HR</t>
  </si>
  <si>
    <t>E1B 1250 PR111/P-LSIG-In=1250A 4p F VR</t>
  </si>
  <si>
    <t>E1B 1250 PR111/P-LSI-In=1250A 4p F F</t>
  </si>
  <si>
    <t>E1B 1250 PR111/P-LSI-In=1250A 4p F HR</t>
  </si>
  <si>
    <t>E1B 1250 PR111/P-LSI-In=1250A 4p F VR</t>
  </si>
  <si>
    <t>E1B 1250 PR112/P-LSIG-In=1250A 4p F F</t>
  </si>
  <si>
    <t>E1B 1250 PR112/P-LSIG-In=1250A 4p F HR</t>
  </si>
  <si>
    <t>E1B 1250 PR112/P-LSIG-In=1250A 4p F VR</t>
  </si>
  <si>
    <t>Čas vytvoření:</t>
  </si>
  <si>
    <t>1SDA038375R0001</t>
  </si>
  <si>
    <t>1SDA038406R0001</t>
  </si>
  <si>
    <t>1SDA038198R0001</t>
  </si>
  <si>
    <t>1SDA038384R0001</t>
  </si>
  <si>
    <t>1SDA038403R0001</t>
  </si>
  <si>
    <t>1SDA038195R0001</t>
  </si>
  <si>
    <t>1SDA038381R0001</t>
  </si>
  <si>
    <t>1SDA039147R0001</t>
  </si>
  <si>
    <t>1SDA039092R0001</t>
  </si>
  <si>
    <t>1SDA039118R0001</t>
  </si>
  <si>
    <t>1SDA039155R0001</t>
  </si>
  <si>
    <t>1SDA039097R0001</t>
  </si>
  <si>
    <t>1SDA039126R0001</t>
  </si>
  <si>
    <t>E1B  800 PR111/P-LI-In=800A 4p W MP</t>
  </si>
  <si>
    <t>E1B  800 PR111/P-LSIG-In=800A 4p W MP</t>
  </si>
  <si>
    <t>E1B  800 PR111/P-LSI-In=800A 4p W MP</t>
  </si>
  <si>
    <t>E1B  800 PR112/P-LSIG-In=800A 4p W MP</t>
  </si>
  <si>
    <t>E1B  800 PR112/P-LSI-In=800A 4p W MP</t>
  </si>
  <si>
    <t>E1B 1250 PR111/P-LI-In=1250A 4p W MP</t>
  </si>
  <si>
    <t>E1B 1250 PR111/P-LSIG-In=1250A 4p W MP</t>
  </si>
  <si>
    <t>E1B 1250 PR111/P-LSI-In=1250A 4p W MP</t>
  </si>
  <si>
    <t>E1B 1250 PR112/P-LSIG-In=1250A 4p W MP</t>
  </si>
  <si>
    <t>E1B 1250 PR112/P-LSI-In=1250A 4p W MP</t>
  </si>
  <si>
    <t>E2N 1250 PR111/P-LI-In=1250A 3p F F</t>
  </si>
  <si>
    <t>E2N</t>
  </si>
  <si>
    <t>E2N 1250 PR111/P-LI-In=1250A 3p F HR</t>
  </si>
  <si>
    <t>E2N 1250 PR111/P-LI-In=1250A 3p F VR</t>
  </si>
  <si>
    <t>E2N 1250 PR111/P-LSIG-In=1250A 3p F F</t>
  </si>
  <si>
    <t>E2N 1250 PR111/P-LSIG-In=1250A 3p F HR</t>
  </si>
  <si>
    <t>E2N 1250 PR111/P-LSIG-In=1250A 3p F VR</t>
  </si>
  <si>
    <t>E2N 1250 PR111/P-LSI-In=1250A 3p F F</t>
  </si>
  <si>
    <t>E2N 1250 PR111/P-LSI-In=1250A 3p F HR</t>
  </si>
  <si>
    <t>E2N 1250 PR111/P-LSI-In=1250A 3p F VR</t>
  </si>
  <si>
    <t>E2N 1250 PR112/P-LSIG-In=1250A 3p F F</t>
  </si>
  <si>
    <t>E2N 1250 PR112/P-LSIG-In=1250A 3p F HR</t>
  </si>
  <si>
    <t>E2N 1250 PR112/P-LSIG-In=1250A 3p F VR</t>
  </si>
  <si>
    <t>E2N 1250 PR112/P-LSI-In=1250A 3p F F</t>
  </si>
  <si>
    <t>E2N 1250 PR112/P-LSI-In=1250A 3p F HR</t>
  </si>
  <si>
    <t>E2N 1250 PR112/P-LSI-In=1250A 3p F VR</t>
  </si>
  <si>
    <t>E2L 1250 PR111/P-LI-In=1250A 3p F F</t>
  </si>
  <si>
    <t>E2L</t>
  </si>
  <si>
    <t>omezující</t>
  </si>
  <si>
    <t>E2L 1250 PR111/P-LI-In=1250A 3p F HR</t>
  </si>
  <si>
    <t>E2L 1250 PR111/P-LI-In=1250A 3p F VR</t>
  </si>
  <si>
    <t>E2L 1250 PR111/P-LSIG-In=1250A 3p F F</t>
  </si>
  <si>
    <t>E2L 1250 PR111/P-LSIG-In=1250A 3p F HR</t>
  </si>
  <si>
    <t>E2L 1250 PR111/P-LSIG-In=1250A 3p F VR</t>
  </si>
  <si>
    <t>E2L 1250 PR111/P-LSI-In=1250A 3p F F</t>
  </si>
  <si>
    <t>E2L 1250 PR111/P-LSI-In=1250A 3p F HR</t>
  </si>
  <si>
    <t>E2L 1250 PR111/P-LSI-In=1250A 3p F VR</t>
  </si>
  <si>
    <t>E2L 1250 PR111/P-LSI-In=250A 3p F HR</t>
  </si>
  <si>
    <t>E2L 1250 PR111/P-LSI-In=400A 3p F HR</t>
  </si>
  <si>
    <t>E2L 1250 PR111/P-LSI-In=800A 3p F HR</t>
  </si>
  <si>
    <t>E2L 1250 PR112/P-LSIG-In=1250A 3p F F</t>
  </si>
  <si>
    <t>E2L 1250 PR112/P-LSIG-In=1250A 3p F HR</t>
  </si>
  <si>
    <t>E2L 1250 PR112/P-LSIG-In=1250A 3p F VR</t>
  </si>
  <si>
    <t>E2L 1250 PR112/P-LSI-In=1250A 3p F F</t>
  </si>
  <si>
    <t>E2L 1250 PR112/P-LSI-In=1250A 3p F HR</t>
  </si>
  <si>
    <t>E2L 1250 PR112/P-LSI-In=1250A 3p F VR</t>
  </si>
  <si>
    <t>E2B 1600 PR111/P-LI-In=1600A 3p F F</t>
  </si>
  <si>
    <t>E2B</t>
  </si>
  <si>
    <t>E2B 1600 PR111/P-LI-In=1600A 3p F HR</t>
  </si>
  <si>
    <t>E2B 1600 PR111/P-LI-In=1600A 3p F VR</t>
  </si>
  <si>
    <t>E2B 1600 PR111/P-LSIG-In=1600A 3p F F</t>
  </si>
  <si>
    <t>E2B 1600 PR111/P-LSIG-In=1600A 3p F HR</t>
  </si>
  <si>
    <t>E2B 1600 PR111/P-LSIG-In=1600A 3p F VR</t>
  </si>
  <si>
    <t>E2B 1600 PR111/P-LSI-In=1600A 3p F F</t>
  </si>
  <si>
    <t>E2B 1600 PR111/P-LSI-In=1600A 3p F HR</t>
  </si>
  <si>
    <t>E2B 1600 PR111/P-LSI-In=1600A 3p F VR</t>
  </si>
  <si>
    <t>E2B 1600 PR112/P-LSIG-In=1600A 3p F F</t>
  </si>
  <si>
    <t>E2B 1600 PR112/P-LSIG-In=1600A 3p F HR</t>
  </si>
  <si>
    <t>E2B 1600 PR112/P-LSIG-In=1600A 3p F VR</t>
  </si>
  <si>
    <t>E2B 1600 PR112/P-LSI-In=1600A 3p F F</t>
  </si>
  <si>
    <t>E2B 1600 PR112/P-LSI-In=1600A 3p F HR</t>
  </si>
  <si>
    <t>E2B 1600 PR112/P-LSI-In=1600A 3p F VR</t>
  </si>
  <si>
    <t>E2N 1600 PR111/P-LI-In=1600A 3p F F</t>
  </si>
  <si>
    <t>E2N 1600 PR111/P-LI-In=1600A 3p F HR</t>
  </si>
  <si>
    <t>E2N 1600 PR111/P-LI-In=1600A 3p F VR</t>
  </si>
  <si>
    <t>E2N 1600 PR111/P-LSIG-In=1600A 3p F F</t>
  </si>
  <si>
    <t>E2N 1600 PR111/P-LSIG-In=1600A 3p F HR</t>
  </si>
  <si>
    <t>E2N 1600 PR111/P-LSIG-In=1600A 3p F VR</t>
  </si>
  <si>
    <t>E2N 1600 PR111/P-LSI-In=1600A 3p F F</t>
  </si>
  <si>
    <t>E2N 1600 PR111/P-LSI-In=1600A 3p F HR</t>
  </si>
  <si>
    <t>E2N 1600 PR111/P-LSI-In=1600A 3p F VR</t>
  </si>
  <si>
    <t>E2N 1600 PR112/P-LSIG-In=1600A 3p F F</t>
  </si>
  <si>
    <t>E4S 4000 PR112/P-LSI-In=4000A 4p F HR</t>
  </si>
  <si>
    <t>E4S 4000 PR112/P-LSI-In=4000A 4p F VR</t>
  </si>
  <si>
    <t>E4H 4000 PR111/P-LI-In=4000A 4p F F</t>
  </si>
  <si>
    <t>E4H 4000 PR111/P-LI-In=4000A 4p F HR</t>
  </si>
  <si>
    <t>E4H 4000 PR111/P-LI-In=4000A 4p F VR</t>
  </si>
  <si>
    <t>E4H 4000 PR111/P-LSIG-In=4000A 4p F F</t>
  </si>
  <si>
    <t>E4H 4000 PR111/P-LSIG-In=4000A 4p F HR</t>
  </si>
  <si>
    <t>E4H 4000 PR111/P-LSIG-In=4000A 4p F VR</t>
  </si>
  <si>
    <t>E2N 1250 PR111/P-LI-In=1250A 4p F HR</t>
  </si>
  <si>
    <t>E2N 1250 PR111/P-LI-In=1250A 4p F VR</t>
  </si>
  <si>
    <t>E2N 1250 PR111/P-LSIG-In=1250A 4p F F</t>
  </si>
  <si>
    <t>E2N 1250 PR111/P-LSIG-In=1250A 4p F HR</t>
  </si>
  <si>
    <t>E2N 1250 PR111/P-LSIG-In=1250A 4p F VR</t>
  </si>
  <si>
    <t>15kont</t>
  </si>
  <si>
    <t>dveře</t>
  </si>
  <si>
    <t>E3S 3200 PR111/P-LSI-In=3200A 4p W MP</t>
  </si>
  <si>
    <t>E3S 3200 PR112/P-LSIG-In=3200A 4p W MP</t>
  </si>
  <si>
    <t>E3S 3200 PR112/P-LSI-In=3200A 4p W MP</t>
  </si>
  <si>
    <t>E3L 2000 PR112/P-LSIG-In=2000A 4p F HR</t>
  </si>
  <si>
    <t>E3H 3200 PR111/P-LSIG-In=3200A 3p F F</t>
  </si>
  <si>
    <t>E3H 3200 PR111/P-LSIG-In=3200A 3p F HR</t>
  </si>
  <si>
    <t>E3H 3200 PR112/P-LSIG-In=3200A 4p W MP</t>
  </si>
  <si>
    <t>E3H 3200 PR112/P-LSI-In=3200A 4p W MP</t>
  </si>
  <si>
    <t>E4H 3200 PR111/P-LI-In=3200A 3p F F</t>
  </si>
  <si>
    <t>E4H</t>
  </si>
  <si>
    <t>E4H 3200 PR111/P-LI-In=3200A 3p F HR</t>
  </si>
  <si>
    <t>E4H 3200 PR111/P-LI-In=3200A 3p F VR</t>
  </si>
  <si>
    <t>E4H 3200 PR111/P-LSIG-In=3200A 3p F F</t>
  </si>
  <si>
    <t>E3L 2000 PR112/P-LSIG-In=2000A 4p F VR</t>
  </si>
  <si>
    <t>E3L 2000 PR112/P-LSI-In=2000A 4p F F</t>
  </si>
  <si>
    <t>E3L 2000 PR112/P-LSI-In=2000A 4p F HR</t>
  </si>
  <si>
    <t>E3L 2000 PR112/P-LSI-In=2000A 4p F VR</t>
  </si>
  <si>
    <t>E3N 2500 PR111/P-LI-In=2500A 4p F F</t>
  </si>
  <si>
    <t>24 ss</t>
  </si>
  <si>
    <t>110…120</t>
  </si>
  <si>
    <t>380…400 stř</t>
  </si>
  <si>
    <t>YO2:</t>
  </si>
  <si>
    <t>2. vyp. cívka</t>
  </si>
  <si>
    <t>Druhá vypínací cívka</t>
  </si>
  <si>
    <t>24 V ss</t>
  </si>
  <si>
    <t>380…400 V stř</t>
  </si>
  <si>
    <t>110…120 V ss/stř</t>
  </si>
  <si>
    <t>Vypínací cívka 24 V ss</t>
  </si>
  <si>
    <t>Vypínací cívka 110…120 V</t>
  </si>
  <si>
    <t>Vypínací cívka 380…400 V stř</t>
  </si>
  <si>
    <t>Vypínací cívka 440 V stř</t>
  </si>
  <si>
    <t>Zapínací cívka 24 V ss</t>
  </si>
  <si>
    <t>Zapínací cívka 110…120 V</t>
  </si>
  <si>
    <t>Zapínací cívka 380…400 V stř</t>
  </si>
  <si>
    <t>Zapínací cívka 440 V stř</t>
  </si>
  <si>
    <t>Podpěťová cívka 24 V ss</t>
  </si>
  <si>
    <t>Podpěťová cívka 110…120 V</t>
  </si>
  <si>
    <t>Podpěťová cívka 380…400 V stř</t>
  </si>
  <si>
    <t>Podpěťová cívka 440 V stř</t>
  </si>
  <si>
    <t>1SDA050157R0001</t>
  </si>
  <si>
    <t>1SDA050158R0001</t>
  </si>
  <si>
    <t>1SDA050159R0001</t>
  </si>
  <si>
    <t>1SDA050160R0001</t>
  </si>
  <si>
    <t>1SDA050161R0001</t>
  </si>
  <si>
    <t>1SDA050162R0001</t>
  </si>
  <si>
    <t>1SDA050164R0001</t>
  </si>
  <si>
    <t>1SDA050165R0001</t>
  </si>
  <si>
    <t>1SDA050166R0001</t>
  </si>
  <si>
    <t>Základna s druhou vypínací cívkou 24V=</t>
  </si>
  <si>
    <t>Základna s druhou vypínací cívkou 30V</t>
  </si>
  <si>
    <t>Základna s druhou vypínací cívkou 48V</t>
  </si>
  <si>
    <t>Základna s druhou vypínací cívkou 60V</t>
  </si>
  <si>
    <t>Základna s druhou vypínací cívkou 110/120V</t>
  </si>
  <si>
    <t>030</t>
  </si>
  <si>
    <t>u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</si>
  <si>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</si>
  <si>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</si>
  <si>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</si>
  <si>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</si>
  <si>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</si>
  <si>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</si>
  <si>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</si>
  <si>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</si>
  <si>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</si>
  <si>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</si>
  <si>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</si>
  <si>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</si>
  <si>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</si>
  <si>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</si>
  <si>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</si>
  <si>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</si>
  <si>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</si>
  <si>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</si>
  <si>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</si>
  <si>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</si>
  <si>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</si>
  <si>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1SDA039928R0001</t>
  </si>
  <si>
    <t>1SDA039959R0001</t>
  </si>
  <si>
    <t>1SDA039915R0001</t>
  </si>
  <si>
    <t>1SDA039937R0001</t>
  </si>
  <si>
    <t>1SDA039956R0001</t>
  </si>
  <si>
    <t>1SDA039912R0001</t>
  </si>
  <si>
    <t>1SDA039934R0001</t>
  </si>
  <si>
    <t>1SDA040496R0001</t>
  </si>
  <si>
    <t>1SDA040452R0001</t>
  </si>
  <si>
    <t>1SDA040474R0001</t>
  </si>
  <si>
    <t>1SDA040502R0001</t>
  </si>
  <si>
    <t>1SDA040458R0001</t>
  </si>
  <si>
    <t>1SDA040480R0001</t>
  </si>
  <si>
    <t>1SDA040499R0001</t>
  </si>
  <si>
    <t>1SDA040455R0001</t>
  </si>
  <si>
    <t>1SDA040477R0001</t>
  </si>
  <si>
    <t>1SDA040508R0001</t>
  </si>
  <si>
    <t>1SDA040464R0001</t>
  </si>
  <si>
    <t>1SDA040486R0001</t>
  </si>
  <si>
    <t>1SDA040505R0001</t>
  </si>
  <si>
    <t>1SDA040461R0001</t>
  </si>
  <si>
    <t>1SDA040483R0001</t>
  </si>
  <si>
    <t>1SDA039540R0001</t>
  </si>
  <si>
    <t>1SDA039496R0001</t>
  </si>
  <si>
    <t>1SDA039518R0001</t>
  </si>
  <si>
    <t>1SDA039546R0001</t>
  </si>
  <si>
    <t>1SDA039502R0001</t>
  </si>
  <si>
    <t>1SDA039524R0001</t>
  </si>
  <si>
    <t>1SDA039543R0001</t>
  </si>
  <si>
    <t>1SDA039499R0001</t>
  </si>
  <si>
    <t>1SDA039521R0001</t>
  </si>
  <si>
    <t>1SDA039552R0001</t>
  </si>
  <si>
    <t>1SDA039508R0001</t>
  </si>
  <si>
    <t>1SDA039530R0001</t>
  </si>
  <si>
    <t>1SDA039549R0001</t>
  </si>
  <si>
    <t>1SDA039505R0001</t>
  </si>
  <si>
    <t>1SDA039527R0001</t>
  </si>
  <si>
    <t>1SDA040123R0001</t>
  </si>
  <si>
    <t>E3N 3200 PR111/P-LSI-In=3200A 3p F VR</t>
  </si>
  <si>
    <t>E3N 3200 PR112/P-LSIG-In=3200A 3p F F</t>
  </si>
  <si>
    <t>E3N 3200 PR112/P-LSIG-In=3200A 3p F HR</t>
  </si>
  <si>
    <t>E3N 3200 PR112/P-LSIG-In=3200A 3p F VR</t>
  </si>
  <si>
    <t>E3N 3200 PR112/P-LSI-In=3200A 3p F F</t>
  </si>
  <si>
    <t>E3S 1250 PR111/P-LSIG-In=1250A 3p F VR</t>
  </si>
  <si>
    <t>E3S 1250 PR111/P-LSI-In=1250A 3p F F</t>
  </si>
  <si>
    <t>E3S 1250 PR111/P-LSI-In=1250A 3p F HR</t>
  </si>
  <si>
    <t>1SDA042962R0001</t>
  </si>
  <si>
    <t>1SDA042946R0001</t>
  </si>
  <si>
    <t>1SDA042954R0001</t>
  </si>
  <si>
    <t>1SDA042964R0001</t>
  </si>
  <si>
    <t>1SDA042948R0001</t>
  </si>
  <si>
    <t>1SDA042956R0001</t>
  </si>
  <si>
    <t>1SDA042963R0001</t>
  </si>
  <si>
    <t>1SDA042947R0001</t>
  </si>
  <si>
    <t>E6V 5000 PR111/P-LSI-In=5000A 3p W MP</t>
  </si>
  <si>
    <t>E6V 5000 PR112/P-LSIG-In=5000A 3p W MP</t>
  </si>
  <si>
    <t>E6V 5000 PR112/P-LSI-In=5000A 3p W MP</t>
  </si>
  <si>
    <t>E6H 6300 PR111/P-LI-In=6300A 3p W MP</t>
  </si>
  <si>
    <t>E6H 6300 PR111/P-LSIG-In=6300A 3p W MP</t>
  </si>
  <si>
    <t>E6H 6300 PR111/P-LSI-In=6300A 3p W MP</t>
  </si>
  <si>
    <t>E6H 6300 PR112/P-LSIG-In=6300A 3p W MP</t>
  </si>
  <si>
    <t>E6H 6300 PR112/P-LSI-In=6300A 3p W MP</t>
  </si>
  <si>
    <t>E6V 6300 PR111/P-LI-In=6300A 3p W MP</t>
  </si>
  <si>
    <t>E6V 6300 PR111/P-LSIG-In=6300A 3p W MP</t>
  </si>
  <si>
    <t>E6V 6300 PR111/P-LSI-In=6300A 3p W MP</t>
  </si>
  <si>
    <t>E6V 6300 PR112/P-LSIG-In=6300A 3p W MP</t>
  </si>
  <si>
    <t>E6V 6300 PR112/P-LSI-In=6300A 3p W MP</t>
  </si>
  <si>
    <t>E6V 3200 PR111/P-LI-In=3200A 4p F F</t>
  </si>
  <si>
    <t>1SDA042752R0001</t>
  </si>
  <si>
    <t>1SDA042773R0001</t>
  </si>
  <si>
    <t>1SDA042743R0001</t>
  </si>
  <si>
    <t>1SDA042758R0001</t>
  </si>
  <si>
    <t>1SDA042771R0001</t>
  </si>
  <si>
    <t>1SDA042741R0001</t>
  </si>
  <si>
    <t>1SDA042756R0001</t>
  </si>
  <si>
    <t>1SDA043189R0001</t>
  </si>
  <si>
    <t>1SDA043159R0001</t>
  </si>
  <si>
    <t>1SDA043174R0001</t>
  </si>
  <si>
    <t>1SDA043193R0001</t>
  </si>
  <si>
    <t>1SDA043163R0001</t>
  </si>
  <si>
    <t>1SDA043178R0001</t>
  </si>
  <si>
    <t>1SDA043191R0001</t>
  </si>
  <si>
    <t>1SDA043161R0001</t>
  </si>
  <si>
    <t>1SDA043176R0001</t>
  </si>
  <si>
    <t>%</t>
  </si>
  <si>
    <t>E2N 1600 PR111/P-LI-In=1600A 3p W MP</t>
  </si>
  <si>
    <t>E6H 5000 PR111/P-LSIG-In=5000A 3p F F</t>
  </si>
  <si>
    <t>E6H 5000 PR111/P-LSIG-In=5000A 3p F HR</t>
  </si>
  <si>
    <t>E6H 5000 PR111/P-LSIG-In=5000A 3p F VR</t>
  </si>
  <si>
    <t>E6H 5000 PR111/P-LSI-In=5000A 3p F F</t>
  </si>
  <si>
    <t>E6H 5000 PR111/P-LSI-In=5000A 3p F HR</t>
  </si>
  <si>
    <t>E6H 5000 PR111/P-LSI-In=5000A 3p F VR</t>
  </si>
  <si>
    <t>E6H 5000 PR112/P-LSIG-In=5000A 3p F F</t>
  </si>
  <si>
    <t>E6H 5000 PR112/P-LSIG-In=5000A 3p F HR</t>
  </si>
  <si>
    <t>E6H 5000 PR112/P-LSIG-In=5000A 3p F VR</t>
  </si>
  <si>
    <t>odp.</t>
  </si>
  <si>
    <t>2+2 Au</t>
  </si>
  <si>
    <t>5+5 Au</t>
  </si>
  <si>
    <t>pozič. Kont.</t>
  </si>
  <si>
    <t>provedení</t>
  </si>
  <si>
    <t>st</t>
  </si>
  <si>
    <t>Au</t>
  </si>
  <si>
    <t>Kont.</t>
  </si>
  <si>
    <t>10x kontakt signalizace zas./vys./test. polohy (dig. signal.)</t>
  </si>
  <si>
    <t xml:space="preserve">10x kontakt signalizace zas./vys./test. polohy (dig. signal.) </t>
  </si>
  <si>
    <t>5x kontakt signalizace zas./vys./test. polohy (dig. signal.)</t>
  </si>
  <si>
    <t>Zpoždění pouze v kombiknaci s YU!</t>
  </si>
  <si>
    <t>Jistič na 1000 V AC</t>
  </si>
  <si>
    <t>E2B/E16</t>
  </si>
  <si>
    <t>E2B/E20</t>
  </si>
  <si>
    <t>E2N/E16</t>
  </si>
  <si>
    <t>E2N/E20</t>
  </si>
  <si>
    <t>E2N/E12</t>
  </si>
  <si>
    <t>E3H/E16</t>
  </si>
  <si>
    <t>E3H/E20</t>
  </si>
  <si>
    <t>E3H/E12</t>
  </si>
  <si>
    <t>E3H/E25</t>
  </si>
  <si>
    <t>E3H/E32</t>
  </si>
  <si>
    <t>E4H/E32</t>
  </si>
  <si>
    <t>E4H/E40</t>
  </si>
  <si>
    <t>1000 VAC</t>
  </si>
  <si>
    <t>Verze jističe na 1000 V stř.</t>
  </si>
  <si>
    <t>1000 V jen pro některé jističe!</t>
  </si>
  <si>
    <t>PR113/PDM-LSIG MODBUS. E1/6   komunikační modul (příd. kód)</t>
  </si>
  <si>
    <t>PR112/PDM-LSI MODBUS. E1/6   komunikační modul (příd. kód)</t>
  </si>
  <si>
    <t>A1Au</t>
  </si>
  <si>
    <t>A2Au</t>
  </si>
  <si>
    <t>R1Au</t>
  </si>
  <si>
    <t>R2Au</t>
  </si>
  <si>
    <t>PC1Au</t>
  </si>
  <si>
    <t>PC2Au</t>
  </si>
  <si>
    <t>PC3Au</t>
  </si>
  <si>
    <t>PC4Au</t>
  </si>
  <si>
    <t>PC5Au</t>
  </si>
  <si>
    <t>DM</t>
  </si>
  <si>
    <t>DL</t>
  </si>
  <si>
    <t>1SDA050146R0001</t>
  </si>
  <si>
    <t>1SDA050147R0001</t>
  </si>
  <si>
    <t>1SDA050148R0001</t>
  </si>
  <si>
    <t>1SDA050149R0001</t>
  </si>
  <si>
    <t>1SDA050150R0001</t>
  </si>
  <si>
    <t>1SDA052659R0001</t>
  </si>
  <si>
    <t>1SDA052660R0001</t>
  </si>
  <si>
    <t>1SDA052661R0001</t>
  </si>
  <si>
    <t>1SDA052662R0001</t>
  </si>
  <si>
    <t>1SDA052663R0001</t>
  </si>
  <si>
    <t>E6H 6300 PR111/P-LSI-In=6300A 4p F HR</t>
  </si>
  <si>
    <t>E6H 6300 PR111/P-LSI-In=6300A 4p F VR</t>
  </si>
  <si>
    <t>E6H 6300 PR112/P-LSIG-In=6300A 4p F F</t>
  </si>
  <si>
    <t>E6H 6300 PR112/P-LSIG-In=6300A 4p F HR</t>
  </si>
  <si>
    <t>E3N 2500 PR111/P-LI-In=2500A 4p F HR</t>
  </si>
  <si>
    <t>E3S 2500 PR111/P-LSI-In=2500A 3p F HR</t>
  </si>
  <si>
    <t>E3S 2500 PR111/P-LSI-In=2500A 3p F VR</t>
  </si>
  <si>
    <t>E3S 2500 PR112/P-LSIG-In=2500A 3p F F</t>
  </si>
  <si>
    <t>E3S 2500 PR112/P-LSIG-In=2500A 3p F HR</t>
  </si>
  <si>
    <t>E3S 2500 PR112/P-LSIG-In=2500A 3p F VR</t>
  </si>
  <si>
    <t>E3S 2500 PR112/P-LSI-In=2500A 3p F F</t>
  </si>
  <si>
    <t>E3S 2500 PR112/P-LSI-In=2500A 3p F HR</t>
  </si>
  <si>
    <t>E3S 1600 PR111/P-LI-In=1600A 3p F VR</t>
  </si>
  <si>
    <t>E3S 1600 PR111/P-LSIG-In=1600A 3p F F</t>
  </si>
  <si>
    <t>E3S 1600 PR111/P-LSIG-In=1600A 3p F HR</t>
  </si>
  <si>
    <t>E3S 1600 PR111/P-LSIG-In=1600A 3p F VR</t>
  </si>
  <si>
    <t>E3S 1600 PR111/P-LSI-In=1600A 3p F F</t>
  </si>
  <si>
    <t>E3S 1600 PR111/P-LSI-In=1600A 3p F HR</t>
  </si>
  <si>
    <t>E3S 1600 PR111/P-LSI-In=1600A 3p F VR</t>
  </si>
  <si>
    <t>E3S 1600 PR112/P-LSIG-In=1600A 3p F F</t>
  </si>
  <si>
    <t>E3S 1600 PR112/P-LSIG-In=1600A 3p F HR</t>
  </si>
  <si>
    <t>E3S 1600 PR112/P-LSIG-In=1600A 3p F VR</t>
  </si>
  <si>
    <t>E3S 1600 PR112/P-LSI-In=1600A 3p F F</t>
  </si>
  <si>
    <t>E3S 1600 PR112/P-LSI-In=1600A 3p F HR</t>
  </si>
  <si>
    <t>E3S 1600 PR112/P-LSI-In=1600A 3p F VR</t>
  </si>
  <si>
    <t>E3H 1600 PR111/P-LI-In=1600A 3p F F</t>
  </si>
  <si>
    <t>E3H 1600 PR111/P-LI-In=1600A 3p F HR</t>
  </si>
  <si>
    <t>E3H 1600 PR111/P-LI-In=1600A 3p F VR</t>
  </si>
  <si>
    <t>E3H 1600 PR111/P-LSIG-In=1600A 3p F F</t>
  </si>
  <si>
    <t>E3H 1600 PR111/P-LSIG-In=1600A 3p F HR</t>
  </si>
  <si>
    <t>E3H 1600 PR111/P-LSIG-In=1600A 3p F VR</t>
  </si>
  <si>
    <t>E3H 1600 PR111/P-LSI-In=1600A 3p F F</t>
  </si>
  <si>
    <t>E3H 1600 PR111/P-LSI-In=1600A 3p F HR</t>
  </si>
  <si>
    <t>E3H 1600 PR111/P-LSI-In=1600A 3p F VR</t>
  </si>
  <si>
    <t>E3H 1600 PR112/P-LSIG-In=1600A 3p F F</t>
  </si>
  <si>
    <t>E3H 1600 PR112/P-LSIG-In=1600A 3p F HR</t>
  </si>
  <si>
    <t>E3H 1600 PR112/P-LSIG-In=1600A 3p F VR</t>
  </si>
  <si>
    <t>E3H 1600 PR112/P-LSI-In=1600A 3p F F</t>
  </si>
  <si>
    <t>E2L 1600 PR111/P-LI-In=1600A 4p W MP</t>
  </si>
  <si>
    <t>E2L 1600 PR111/P-LSIG-In=1600A 4p W MP</t>
  </si>
  <si>
    <t>E2L 1600 PR111/P-LSI-In=1600A 4p W MP</t>
  </si>
  <si>
    <t>E2L 1600 PR112/P-LSIG-In=1600A 4p W MP</t>
  </si>
  <si>
    <t>E3N 3200 PR111/P-LSI-In=3200A 3p F F</t>
  </si>
  <si>
    <t>E3N 3200 PR111/P-LSI-In=3200A 3p F HR</t>
  </si>
  <si>
    <t>E3S 2000 PR111/P-LI-In=2000A 3p F F</t>
  </si>
  <si>
    <t>E3S 2000 PR111/P-LI-In=2000A 3p F HR</t>
  </si>
  <si>
    <t>E3S 2000 PR111/P-LI-In=2000A 3p F VR</t>
  </si>
  <si>
    <t>E3S 2000 PR111/P-LSIG-In=2000A 3p F F</t>
  </si>
  <si>
    <t>E3S 2000 PR111/P-LSIG-In=2000A 3p F HR</t>
  </si>
  <si>
    <t>E3S 2000 PR111/P-LSIG-In=2000A 3p F VR</t>
  </si>
  <si>
    <t>E3S 2000 PR111/P-LSI-In=2000A 3p F F</t>
  </si>
  <si>
    <t>E3S 2000 PR111/P-LSI-In=2000A 3p F HR</t>
  </si>
  <si>
    <t>E3S 2000 PR111/P-LSI-In=2000A 3p F VR</t>
  </si>
  <si>
    <t>E3S 2000 PR112/P-LSIG-In=2000A 3p F F</t>
  </si>
  <si>
    <t>E3S 2000 PR112/P-LSIG-In=2000A 3p F HR</t>
  </si>
  <si>
    <t>E3S 2000 PR112/P-LSIG-In=2000A 3p F VR</t>
  </si>
  <si>
    <t>E3S 2000 PR112/P-LSI-In=2000A 3p F F</t>
  </si>
  <si>
    <t>E3S 2000 PR112/P-LSI-In=2000A 3p F HR</t>
  </si>
  <si>
    <t>E3S 2000 PR112/P-LSI-In=2000A 3p F VR</t>
  </si>
  <si>
    <t>E3H 2000 PR111/P-LI-In=2000A 3p F F</t>
  </si>
  <si>
    <t>E3H 2000 PR111/P-LI-In=2000A 3p F HR</t>
  </si>
  <si>
    <t>E3H 2000 PR111/P-LI-In=2000A 3p F VR</t>
  </si>
  <si>
    <t>E3H 2000 PR111/P-LSIG-In=2000A 3p F F</t>
  </si>
  <si>
    <t>E3H 2000 PR111/P-LSIG-In=2000A 3p F HR</t>
  </si>
  <si>
    <t>E3H 2000 PR111/P-LSIG-In=2000A 3p F VR</t>
  </si>
  <si>
    <t>E3H 2500 PR112/P-LSI-In=2500A 4p F HR</t>
  </si>
  <si>
    <t>E3H 2500 PR112/P-LSI-In=2500A 4p F VR</t>
  </si>
  <si>
    <t>E3L 2500 PR111/P-LI-In=2500A 4p F F</t>
  </si>
  <si>
    <t>E3L 2500 PR111/P-LI-In=2500A 4p F HR</t>
  </si>
  <si>
    <t>E3L 2500 PR111/P-LI-In=2500A 4p F VR</t>
  </si>
  <si>
    <t>E3L 2500 PR111/P-LSIG-In=2500A 4p F F</t>
  </si>
  <si>
    <t>E3L 2500 PR111/P-LSIG-In=2500A 4p F HR</t>
  </si>
  <si>
    <t>E3L 2500 PR111/P-LSIG-In=2500A 4p F VR</t>
  </si>
  <si>
    <t>E3L 2500 PR111/P-LSI-In=2500A 4p F F</t>
  </si>
  <si>
    <t>E3L 2500 PR111/P-LSI-In=2500A 4p F HR</t>
  </si>
  <si>
    <t>E3L 2500 PR111/P-LSI-In=2500A 4p F VR</t>
  </si>
  <si>
    <t>E3L 2500 PR112/P-LSIG-In=2500A 4p F F</t>
  </si>
  <si>
    <t>E3L 2500 PR112/P-LSIG-In=2500A 4p F HR</t>
  </si>
  <si>
    <t>E3L 2500 PR112/P-LSIG-In=2500A 4p F VR</t>
  </si>
  <si>
    <t>E3L 2500 PR112/P-LSI-In=2500A 4p F F</t>
  </si>
  <si>
    <t>E3L 2500 PR112/P-LSI-In=2500A 4p F HR</t>
  </si>
  <si>
    <t>E3L 2500 PR112/P-LSI-In=2500A 4p F VR</t>
  </si>
  <si>
    <t>E3N 3200 PR111/P-LI-In=3200A 4p F F</t>
  </si>
  <si>
    <t>E3N 3200 PR111/P-LI-In=3200A 4p F HR</t>
  </si>
  <si>
    <t>E3N 3200 PR111/P-LI-In=3200A 4p F VR</t>
  </si>
  <si>
    <t>E3N 3200 PR111/P-LSIG-In=3200A 4p F F</t>
  </si>
  <si>
    <t>E3N 3200 PR111/P-LSIG-In=3200A 4p F HR</t>
  </si>
  <si>
    <t>E3N 3200 PR111/P-LSIG-In=3200A 4p F VR</t>
  </si>
  <si>
    <t>E3N 3200 PR111/P-LSI-In=3200A 4p F F</t>
  </si>
  <si>
    <t>E3N 3200 PR111/P-LSI-In=3200A 4p F HR</t>
  </si>
  <si>
    <t>E3N 3200 PR111/P-LSI-In=3200A 4p F VR</t>
  </si>
  <si>
    <t>E3N 3200 PR112/P-LSIG-In=3200A 4p F F</t>
  </si>
  <si>
    <t>E3N 3200 PR112/P-LSIG-In=3200A 4p F HR</t>
  </si>
  <si>
    <t>E3N 3200 PR112/P-LSIG-In=3200A 4p F VR</t>
  </si>
  <si>
    <t>E3N 3200 PR112/P-LSI-In=3200A 4p F F</t>
  </si>
  <si>
    <t>E3N 3200 PR112/P-LSI-In=3200A 4p F HR</t>
  </si>
  <si>
    <t>E3N 3200 PR112/P-LSI-In=3200A 4p F VR</t>
  </si>
  <si>
    <t>E3S 3200 PR111/P-LI-In=3200A 4p F F</t>
  </si>
  <si>
    <t>E3S 3200 PR111/P-LI-In=3200A 4p F HR</t>
  </si>
  <si>
    <t>E3S 3200 PR111/P-LI-In=3200A 4p F VR</t>
  </si>
  <si>
    <t>E3S 3200 PR111/P-LSIG-In=3200A 4p F F</t>
  </si>
  <si>
    <t>E3S 3200 PR111/P-LSIG-In=3200A 4p F HR</t>
  </si>
  <si>
    <t>E3S 3200 PR111/P-LSIG-In=3200A 4p F VR</t>
  </si>
  <si>
    <t>E3S 3200 PR111/P-LSI-In=3200A 4p F F</t>
  </si>
  <si>
    <t>E3S 3200 PR111/P-LSI-In=3200A 4p F HR</t>
  </si>
  <si>
    <t>E3S 3200 PR111/P-LSI-In=3200A 4p F VR</t>
  </si>
  <si>
    <t>E3S 3200 PR112/P-LSIG-In=3200A 4p F F</t>
  </si>
  <si>
    <t>E3S 3200 PR112/P-LSIG-In=3200A 4p F HR</t>
  </si>
  <si>
    <t>E3S 3200 PR112/P-LSIG-In=3200A 4p F VR</t>
  </si>
  <si>
    <t>E3S 3200 PR112/P-LSI-In=3200A 4p F F</t>
  </si>
  <si>
    <t>E3S 3200 PR112/P-LSI-In=3200A 4p F HR</t>
  </si>
  <si>
    <t>E3S 3200 PR112/P-LSI-In=3200A 4p F VR</t>
  </si>
  <si>
    <t>E3H 3200 PR111/P-LI-In=3200A 4p F F</t>
  </si>
  <si>
    <t>E3H 3200 PR111/P-LI-In=3200A 4p F HR</t>
  </si>
  <si>
    <t>E3H 3200 PR111/P-LI-In=3200A 4p F VR</t>
  </si>
  <si>
    <t>E3H 3200 PR111/P-LSIG-In=3200A 4p F F</t>
  </si>
  <si>
    <t>E3S 1600 PR111/P-LSIG-In=1600A 4p W MP</t>
  </si>
  <si>
    <t>E3S 1600 PR111/P-LSI-In=1600A 4p W MP</t>
  </si>
  <si>
    <t>E3S 1600 PR112/P-LSIG-In=1600A 4p W MP</t>
  </si>
  <si>
    <t>E3S 1600 PR112/P-LSI-In=1600A 4p W MP</t>
  </si>
  <si>
    <t>E3H 1600 PR111/P-LI-In=1600A 4p W MP</t>
  </si>
  <si>
    <t>E3H 1600 PR111/P-LSIG-In=1600A 4p W MP</t>
  </si>
  <si>
    <t>E3H 1600 PR111/P-LSI-In=1600A 4p W MP</t>
  </si>
  <si>
    <t>E1/MT Upstream Earthing Truck 1250  4p W MP</t>
  </si>
  <si>
    <t>E1/MT Downstream Earthing Truck 1250  3p W MP</t>
  </si>
  <si>
    <t>E1/MT Downstream Earthing Truck 1250  4p W MP</t>
  </si>
  <si>
    <t>E1/MTP Upstream Earthing Switch 1250  3p W MP</t>
  </si>
  <si>
    <t>E1/MTP Upstream Earthing Switch 1250  4p W MP</t>
  </si>
  <si>
    <t>E1/MTP Downstream Earthing Switch 1250  4p W MP</t>
  </si>
  <si>
    <t>E1/MTP Downstream Earthing Switch 1250  3p W MP</t>
  </si>
  <si>
    <t>E2/CS 2000  3p W MP</t>
  </si>
  <si>
    <t>E3/CS 3200  3p W MP</t>
  </si>
  <si>
    <t>E4/CS 4000  3p W MP</t>
  </si>
  <si>
    <t>E6/CS 6300  3p W MP</t>
  </si>
  <si>
    <t>E6/CS 6300  4p W MP</t>
  </si>
  <si>
    <t>E4/CS 4000  4p W MP</t>
  </si>
  <si>
    <t>E3/CS 3200  4p W MP</t>
  </si>
  <si>
    <t>E2/CS 2000  4p W MP</t>
  </si>
  <si>
    <t>E2/MT Upstream Earthing Truck 2000  3p W MP</t>
  </si>
  <si>
    <t>E2/MT Upstream Earthing Truck 2000  4p W MP</t>
  </si>
  <si>
    <t>E3/MT Upstream Earthing Truck 3200  4p W MP</t>
  </si>
  <si>
    <t>E3/MT Upstream Earthing Truck 3200  3p W MP</t>
  </si>
  <si>
    <t>E4/MT Upstream Earthing Truck 4000  3p W MP</t>
  </si>
  <si>
    <t>E4/MT Upstream Earthing Truck 4000  4p W MP</t>
  </si>
  <si>
    <t>E6/MT Upstream Earthing Truck 6300  4p W MP</t>
  </si>
  <si>
    <t>E6/MT Upstream Earthing Truck 6300  3p W MP</t>
  </si>
  <si>
    <t>E6/MT Downstream Earthing Truck 6300  3p W MP</t>
  </si>
  <si>
    <t>E6/MT Downstream Earthing Truck 6300  4p W MP</t>
  </si>
  <si>
    <t>E4/MT Downstream Earthing Truck 4000  4p W MP</t>
  </si>
  <si>
    <t>E3/MT Downstream Earthing Truck 3200  3p W MP</t>
  </si>
  <si>
    <t>E3/MT Downstream Earthing Truck 3200  4p W MP</t>
  </si>
  <si>
    <t>E2/MT Downstream Earthing Truck 2000  4p W MP</t>
  </si>
  <si>
    <t>E2/MT Downstream Earthing Truck 2000  3p W MP</t>
  </si>
  <si>
    <t>E2/MTP Upstream Earthing Switch 2000  3p W MP</t>
  </si>
  <si>
    <t>E2/MTP Upstream Earthing Switch 2000  4p W MP</t>
  </si>
  <si>
    <t>E3/MTP Upstream Earthing Switch 3200  4p W MP</t>
  </si>
  <si>
    <t>E3/MTP Upstream Earthing Switch 3200  3p W MP</t>
  </si>
  <si>
    <t>E4/MTP Upstream Earthing Switch 4000  3p W MP</t>
  </si>
  <si>
    <t>E4/MTP Upstream Earthing Switch 4000  4p W MP</t>
  </si>
  <si>
    <t>E6/MTP Upstream Earthing Switch 6300  3p W MP</t>
  </si>
  <si>
    <t>E6/MTP Upstream Earthing Switch 6300  4p W MP</t>
  </si>
  <si>
    <t>E2/MTP Downstream Earthing Switch 2000  3p W MP</t>
  </si>
  <si>
    <t>E2/MTP Downstream Earthing Switch 2000  4p W MP</t>
  </si>
  <si>
    <t>E3/MTP Downstream Earthing Switch 3200  3p W MP</t>
  </si>
  <si>
    <t>E3/MTP Downstream Earthing Switch 3200  4p W MP</t>
  </si>
  <si>
    <t>E4/MTP Downstream Earthing Switch 4000  3p W MP</t>
  </si>
  <si>
    <t>E4/MTP Downstream Earthing Switch 4000  4p W MP</t>
  </si>
  <si>
    <t>E6/MTP Downstream Earthing Switch 6300  3p W MP</t>
  </si>
  <si>
    <t>E6/MTP Downstream Earthing Switch 6300  4p W MP</t>
  </si>
  <si>
    <t>PR112/PD LSIG E1-6</t>
  </si>
  <si>
    <t>PR112/P LSIG E1-6</t>
  </si>
  <si>
    <t>PR112/P LSI  E1-6</t>
  </si>
  <si>
    <t>PR111/P LSIG E1-6</t>
  </si>
  <si>
    <t>PR111/P LSI  E1-6</t>
  </si>
  <si>
    <t>PR111/P LI    E1-6</t>
  </si>
  <si>
    <t>CTs In= 250A 3p E1/2</t>
  </si>
  <si>
    <t>CTs In= 400A 3p E1/2</t>
  </si>
  <si>
    <t>CTs In= 800A 3p E1/2</t>
  </si>
  <si>
    <t>CTs In=1250A 3p E1/2</t>
  </si>
  <si>
    <t>CTs In=1600A 3p E2</t>
  </si>
  <si>
    <t>CTs In=2000A 3p E2</t>
  </si>
  <si>
    <t>CTs In= 250A 4p E1/2</t>
  </si>
  <si>
    <t>CTs In= 400A 4p E1/2</t>
  </si>
  <si>
    <t>E2N 1600 PR111/P-LSI-In=1600A 4p W MP</t>
  </si>
  <si>
    <t>E2N 1600 PR112/P-LSIG-In=1600A 4p W MP</t>
  </si>
  <si>
    <t>E2N 1600 PR112/P-LSI-In=1600A 4p W MP</t>
  </si>
  <si>
    <t>E3S 2500 PR111/P-LSIG-In=2500A 3p F HR</t>
  </si>
  <si>
    <t>E3S 2500 PR111/P-LSIG-In=2500A 3p F VR</t>
  </si>
  <si>
    <t>E3S 2500 PR111/P-LSI-In=2500A 3p F F</t>
  </si>
  <si>
    <t>E1 W FP 4p F-F</t>
  </si>
  <si>
    <t>E1 W FP 4p FL-FL</t>
  </si>
  <si>
    <t>E1 W FP 4p HR-HR</t>
  </si>
  <si>
    <t>E1 W FP 4p VR-VR</t>
  </si>
  <si>
    <t>E2 W FP 3p F-F</t>
  </si>
  <si>
    <t>F</t>
  </si>
  <si>
    <t>FL</t>
  </si>
  <si>
    <t>HR</t>
  </si>
  <si>
    <t>VR</t>
  </si>
  <si>
    <r>
      <t>Zadní naplocho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2"/>
      </rPr>
      <t>(pouze výsuvné provedení)</t>
    </r>
  </si>
  <si>
    <t>E1B/MS  800  3p F HR</t>
  </si>
  <si>
    <t>E1B/MS 1250  3p F HR</t>
  </si>
  <si>
    <t>E2B/MS 2000  3p F HR</t>
  </si>
  <si>
    <t>E2N/MS 1250  3p F HR</t>
  </si>
  <si>
    <t>E2N/MS 1600  3p F HR</t>
  </si>
  <si>
    <t>E2N/MS 2000  3p F HR</t>
  </si>
  <si>
    <t>E3N/MS 2500  3p F HR</t>
  </si>
  <si>
    <t>E3N/MS 3200  3p F HR</t>
  </si>
  <si>
    <t>E3S/MS 1250  3p F HR</t>
  </si>
  <si>
    <t>E3S/MS 1600  3p F HR</t>
  </si>
  <si>
    <t>E3S/MS 2000  3p F HR</t>
  </si>
  <si>
    <t>E3S/MS 2500  3p F HR</t>
  </si>
  <si>
    <t>E3S/MS 3200  3p F HR</t>
  </si>
  <si>
    <t>E4S/MS 4000  3p F HR</t>
  </si>
  <si>
    <t>E4H/MS 3200  3p F HR</t>
  </si>
  <si>
    <t>E4H/MS 4000  3p F HR</t>
  </si>
  <si>
    <t>E6H/MS 5000  3p F HR</t>
  </si>
  <si>
    <t>E6H/MS 6300  3p F HR</t>
  </si>
  <si>
    <t>E1B/MS  800  4p F HR</t>
  </si>
  <si>
    <t>E1B/MS 1250  4p F HR</t>
  </si>
  <si>
    <t>E2B/MS 1600  4p F HR</t>
  </si>
  <si>
    <t>E2B/MS 2000  4p F HR</t>
  </si>
  <si>
    <t>E2N/MS 1250  4p F HR</t>
  </si>
  <si>
    <t>E2N/MS 1600  4p F HR</t>
  </si>
  <si>
    <t>E2N/MS 2000  4p F HR</t>
  </si>
  <si>
    <t>E3N/MS 2500  4p F HR</t>
  </si>
  <si>
    <t>E3N/MS 3200  4p F HR</t>
  </si>
  <si>
    <t>E3S/MS 1250  4p F HR</t>
  </si>
  <si>
    <t>E3S/MS 1600  4p F HR</t>
  </si>
  <si>
    <t>E3S/MS 2000  4p F HR</t>
  </si>
  <si>
    <t>E3S/MS 2500  4p F HR</t>
  </si>
  <si>
    <t>E3S/MS 3200  4p F HR</t>
  </si>
  <si>
    <t>E4S/MS 4000  4p F HR</t>
  </si>
  <si>
    <t>E4H/MS 3200  4p F HR</t>
  </si>
  <si>
    <t>E4H/MS 4000  4p F HR</t>
  </si>
  <si>
    <t>E6H/MS 5000  4p F HR</t>
  </si>
  <si>
    <t>E6H/MS 6300  4p F HR</t>
  </si>
  <si>
    <t>E1B/MS  800  4p F VR</t>
  </si>
  <si>
    <t>E2N/MS 1250  3p F VR</t>
  </si>
  <si>
    <t>n</t>
  </si>
  <si>
    <t>E2N 1250 PR111/P-LSIG-In=1250A 3p W MP</t>
  </si>
  <si>
    <t>E2N 1250 PR111/P-LSI-In=1250A 3p W MP</t>
  </si>
  <si>
    <t>E2N 1250 PR112/P-LSIG-In=1250A 3p W MP</t>
  </si>
  <si>
    <t>E6V 4000 PR111/P-LI-In=4000A 3p F HR</t>
  </si>
  <si>
    <t>E6V 4000 PR111/P-LI-In=4000A 3p F VR</t>
  </si>
  <si>
    <t>E6V 4000 PR111/P-LSIG-In=4000A 3p F F</t>
  </si>
  <si>
    <t>E6V 4000 PR111/P-LSIG-In=4000A 3p F HR</t>
  </si>
  <si>
    <t>E6V 4000 PR111/P-LSIG-In=4000A 3p F VR</t>
  </si>
  <si>
    <t>E6V 4000 PR111/P-LSI-In=4000A 3p F F</t>
  </si>
  <si>
    <t>Poslední změna cen: 20.3.2006</t>
  </si>
  <si>
    <t>Poslední změna cen 20.3.2006</t>
  </si>
  <si>
    <t>1SDA037835R0001</t>
  </si>
  <si>
    <t>1SDA037971R0001</t>
  </si>
  <si>
    <t>1SDA037855R0001</t>
  </si>
  <si>
    <t>1SDA037966R0001</t>
  </si>
  <si>
    <t>1SDA037961R0001</t>
  </si>
  <si>
    <t>1SDA037956R0001</t>
  </si>
  <si>
    <t>1SDA037951R0001</t>
  </si>
  <si>
    <t>1SDA037946R0001</t>
  </si>
  <si>
    <t>1SDA037911R0001</t>
  </si>
  <si>
    <t>1SDA037941R0001</t>
  </si>
  <si>
    <t>1SDA037921R0001</t>
  </si>
  <si>
    <t>1SDA037936R0001</t>
  </si>
  <si>
    <t>1SDA037916R0001</t>
  </si>
  <si>
    <t>E1 W FP 3p VR-F</t>
  </si>
  <si>
    <t>E1 W FP 3p F-HR</t>
  </si>
  <si>
    <t>E1 W FP 4p HR-VR</t>
  </si>
  <si>
    <t>E1 W FP 3p HR-VR</t>
  </si>
  <si>
    <t>E1 W FP 3p HR-F</t>
  </si>
  <si>
    <t>E1 W FP 4p HR-F</t>
  </si>
  <si>
    <t>E1 W FP 3p HR-FL</t>
  </si>
  <si>
    <t>E1 W FP 4p HR-FL</t>
  </si>
  <si>
    <t>E1 W FP 3p VR-HR</t>
  </si>
  <si>
    <t>E1 W FP 4p VR-HR</t>
  </si>
  <si>
    <t>E1 W FP 3p F-FL</t>
  </si>
  <si>
    <t>E1 W FP 3p VR-FL</t>
  </si>
  <si>
    <t>E1 W FP 4p VR-FL</t>
  </si>
  <si>
    <t>E1 W FP 4p FL-F</t>
  </si>
  <si>
    <t>E1 W FP 4p F-HR</t>
  </si>
  <si>
    <t>E1 W FP 3p F-VR</t>
  </si>
  <si>
    <t>E1 W FP 4p F-VR</t>
  </si>
  <si>
    <t>E1 W FP 4p F-FL</t>
  </si>
  <si>
    <t>E1 W FP 3p FL-HR</t>
  </si>
  <si>
    <t>E1 W FP 4p FL-HR</t>
  </si>
  <si>
    <t>E1 W FP 3p FL-VR</t>
  </si>
  <si>
    <t>E1 W FP 4p FL-VR</t>
  </si>
  <si>
    <t>E1 W FP 3p FL-F</t>
  </si>
  <si>
    <t>E1 W FP 4p VR-F</t>
  </si>
  <si>
    <t>E2 W FP 4p F-FL</t>
  </si>
  <si>
    <t>E2 W FP 4p F-VR</t>
  </si>
  <si>
    <t>E2 W FP 4p VR-F</t>
  </si>
  <si>
    <t>E2 W FP 3p FL-F</t>
  </si>
  <si>
    <t>E2 W FP 3p VR-FL</t>
  </si>
  <si>
    <t>E2 W FP 4p VR-FL</t>
  </si>
  <si>
    <t>E2 W FP 3p F-HR</t>
  </si>
  <si>
    <t>E2 W FP 4p VR-HR</t>
  </si>
  <si>
    <t>E2 W FP 3p F-VR</t>
  </si>
  <si>
    <t>E2 W FP 3p VR-F</t>
  </si>
  <si>
    <t>E2 W FP 3p F-FL</t>
  </si>
  <si>
    <t>E2 W FP 3p FL-HR</t>
  </si>
  <si>
    <t>E2 W FP 3p FL-VR</t>
  </si>
  <si>
    <t>E2 W FP 4p FL-HR</t>
  </si>
  <si>
    <t>E2 W FP 4p FL-VR</t>
  </si>
  <si>
    <t>E2 W FP 4p FL-F</t>
  </si>
  <si>
    <t>E2 W FP 4p F-HR</t>
  </si>
  <si>
    <t>E2 W FP 4p HR-FL</t>
  </si>
  <si>
    <t>E2 W FP 3p VR-HR</t>
  </si>
  <si>
    <t>E2 W FP 3p HR-FL</t>
  </si>
  <si>
    <t>E2 W FP 4p HR-F</t>
  </si>
  <si>
    <t>E2 W FP 3p HR-F</t>
  </si>
  <si>
    <t>E2 W FP 3p HR-VR</t>
  </si>
  <si>
    <t>E2 W FP 4p HR-VR</t>
  </si>
  <si>
    <t>E3 W FP 4p FL-F</t>
  </si>
  <si>
    <t>E3 W FP 3p HR-VR</t>
  </si>
  <si>
    <t>E3 W FP 4p VR-FL</t>
  </si>
  <si>
    <t>E3 W FP 3p F-VR</t>
  </si>
  <si>
    <t>E3 W FP 3p FL-F</t>
  </si>
  <si>
    <t>E3 W FP 4p FL-VR</t>
  </si>
  <si>
    <t>E3 W FP 3p FL-VR</t>
  </si>
  <si>
    <t>E3 W FP 4p FL-HR</t>
  </si>
  <si>
    <t>E3 W FP 3p FL-HR</t>
  </si>
  <si>
    <t>E3 W FP 4p F-FL</t>
  </si>
  <si>
    <t>E3 W FP 3p F-FL</t>
  </si>
  <si>
    <t>E3 W FP 4p F-VR</t>
  </si>
  <si>
    <t>E3 W FP 3p F-HR</t>
  </si>
  <si>
    <t>E3 W FP 3p VR-FL</t>
  </si>
  <si>
    <t>E3 W FP 4p VR-HR</t>
  </si>
  <si>
    <t>E3 W FP 4p HR-VR</t>
  </si>
  <si>
    <t>E3 W FP 3p HR-F</t>
  </si>
  <si>
    <t>E3 W FP 4p HR-F</t>
  </si>
  <si>
    <t>E3 W FP 3p HR-FL</t>
  </si>
  <si>
    <t>E3 W FP 4p HR-FL</t>
  </si>
  <si>
    <t>E3 W FP 4p F-HR</t>
  </si>
  <si>
    <t>E3 W FP 3p VR-HR</t>
  </si>
  <si>
    <t>E3 W FP 4p VR-F</t>
  </si>
  <si>
    <t>E3 W FP 3p VR-F</t>
  </si>
  <si>
    <t>E4 W FP 4p VR-HR</t>
  </si>
  <si>
    <t>E4 W FP 3p VR-F</t>
  </si>
  <si>
    <t>E4 W FP 4p VR-F</t>
  </si>
  <si>
    <t>E4 W FP 3p VR-FL</t>
  </si>
  <si>
    <t>E4 W FP 4p VR-FL</t>
  </si>
  <si>
    <t>E4 W FP 3p VR-HR</t>
  </si>
  <si>
    <t>E4 W FP 4p HR-FL</t>
  </si>
  <si>
    <t>E4 W FP 3p HR-FL</t>
  </si>
  <si>
    <t>E4 W FP 4p F-HR</t>
  </si>
  <si>
    <t>E4 W FP 4p HR-F</t>
  </si>
  <si>
    <t>E4 W FP 3p HR-F</t>
  </si>
  <si>
    <t>E4 W FP 3p HR-VR</t>
  </si>
  <si>
    <t>E4 W FP 4p HR-VR</t>
  </si>
  <si>
    <t>E4 W FP 3p FL-HR</t>
  </si>
  <si>
    <t>E4 W FP 4p FL-F</t>
  </si>
  <si>
    <t>E4 W FP 3p FL-F</t>
  </si>
  <si>
    <t>E4 W FP 4p FL-VR</t>
  </si>
  <si>
    <t>E4 W FP 3p FL-VR</t>
  </si>
  <si>
    <t>E4 W FP 3p F-HR</t>
  </si>
  <si>
    <t>E4 W FP 4p F-FL</t>
  </si>
  <si>
    <t>E4 W FP 3p F-VR</t>
  </si>
  <si>
    <t>E4 W FP 4p FL-HR</t>
  </si>
  <si>
    <t>E4 W FP 4p F-VR</t>
  </si>
  <si>
    <t>E4 W FP 3p F-FL</t>
  </si>
  <si>
    <t>E6 W FP 4p VR-HR</t>
  </si>
  <si>
    <t>E6 W FP 3p VR-F</t>
  </si>
  <si>
    <t>E6 W FP 4p VR-F</t>
  </si>
  <si>
    <t>E6 W FP 3p VR-FL</t>
  </si>
  <si>
    <t>E6 W FP 3p VR-HR</t>
  </si>
  <si>
    <t>E6 W FP 4p VR-FL</t>
  </si>
  <si>
    <t>E6 W FP 4p HR-F</t>
  </si>
  <si>
    <t>E6 W FP 3p F-HR</t>
  </si>
  <si>
    <t>E6 W FP 4p HR-FL</t>
  </si>
  <si>
    <t>E6 W FP 3p HR-F</t>
  </si>
  <si>
    <t>E6 W FP 3p HR-VR</t>
  </si>
  <si>
    <t>E6 W FP 4p HR-VR</t>
  </si>
  <si>
    <t>E6 W FP 4p FL-F</t>
  </si>
  <si>
    <t>E6 W FP 3p HR-FL</t>
  </si>
  <si>
    <t>E6 W FP 3p FL-F</t>
  </si>
  <si>
    <t>E6 W FP 4p FL-VR</t>
  </si>
  <si>
    <t>E6 W FP 3p FL-VR</t>
  </si>
  <si>
    <t>E6 W FP 4p FL-HR</t>
  </si>
  <si>
    <t>E6 W FP 3p FL-HR</t>
  </si>
  <si>
    <t>Cena celkem</t>
  </si>
  <si>
    <t>Ks</t>
  </si>
  <si>
    <t>Pos.</t>
  </si>
  <si>
    <t>Sleva %:</t>
  </si>
  <si>
    <t>Vzduchové jističe ABB SACE Emax</t>
  </si>
  <si>
    <t>Pos</t>
  </si>
  <si>
    <t>1SDA037527R0001</t>
  </si>
  <si>
    <t>1SDA038372R0001</t>
  </si>
  <si>
    <t>1SDA038400R0001</t>
  </si>
  <si>
    <t>1SDA038192R0001</t>
  </si>
  <si>
    <t>1SDA038378R0001</t>
  </si>
  <si>
    <t>1SDA038397R0001</t>
  </si>
  <si>
    <t>1SDA037861R0001</t>
  </si>
  <si>
    <t>1SDA042364R0001</t>
  </si>
  <si>
    <t>1SDA042334R0001</t>
  </si>
  <si>
    <t>1SDA042349R0001</t>
  </si>
  <si>
    <t>1SDA042362R0001</t>
  </si>
  <si>
    <t>1SDA042332R0001</t>
  </si>
  <si>
    <t>1SDA042347R0001</t>
  </si>
  <si>
    <t>1SDA042368R0001</t>
  </si>
  <si>
    <t>1SDA042338R0001</t>
  </si>
  <si>
    <t>1SDA042353R0001</t>
  </si>
  <si>
    <t>1SDA042366R0001</t>
  </si>
  <si>
    <t>1SDA042336R0001</t>
  </si>
  <si>
    <t>1SDA042351R0001</t>
  </si>
  <si>
    <t>1SDA042585R0001</t>
  </si>
  <si>
    <t>1SDA042555R0001</t>
  </si>
  <si>
    <t>1SDA042570R0001</t>
  </si>
  <si>
    <t>1SDA042589R0001</t>
  </si>
  <si>
    <t>1SDA042559R0001</t>
  </si>
  <si>
    <t>1SDA042574R0001</t>
  </si>
  <si>
    <t>1SDA042587R0001</t>
  </si>
  <si>
    <t>1SDA042557R0001</t>
  </si>
  <si>
    <t>1SDA042572R0001</t>
  </si>
  <si>
    <t>1SDA042593R0001</t>
  </si>
  <si>
    <t>1SDA042563R0001</t>
  </si>
  <si>
    <t>1SDA042578R0001</t>
  </si>
  <si>
    <t>1SDA042591R0001</t>
  </si>
  <si>
    <t>1SDA042561R0001</t>
  </si>
  <si>
    <t>1SDA042576R0001</t>
  </si>
  <si>
    <t>1SDA042495R0001</t>
  </si>
  <si>
    <t>1SDA042499R0001</t>
  </si>
  <si>
    <t>1SDA042497R0001</t>
  </si>
  <si>
    <t>1SDA042503R0001</t>
  </si>
  <si>
    <t>1SDA042501R0001</t>
  </si>
  <si>
    <t>1SDA042375R0001</t>
  </si>
  <si>
    <t>1SDA042379R0001</t>
  </si>
  <si>
    <t>1SDA042377R0001</t>
  </si>
  <si>
    <t>1SDA042383R0001</t>
  </si>
  <si>
    <t>1SDA042381R0001</t>
  </si>
  <si>
    <t>1SDA042600R0001</t>
  </si>
  <si>
    <t>1SDA042604R0001</t>
  </si>
  <si>
    <t>1SDA042602R0001</t>
  </si>
  <si>
    <t>1SDA042608R0001</t>
  </si>
  <si>
    <t>1SDA042606R0001</t>
  </si>
  <si>
    <t>1SDA042525R0001</t>
  </si>
  <si>
    <t>1SDA043417R0001</t>
  </si>
  <si>
    <t>1SDA042510R0001</t>
  </si>
  <si>
    <t>1SDA042529R0001</t>
  </si>
  <si>
    <t>1SDA043421R0001</t>
  </si>
  <si>
    <t>1SDA042514R0001</t>
  </si>
  <si>
    <t>1SDA042527R0001</t>
  </si>
  <si>
    <t>1SDA043419R0001</t>
  </si>
  <si>
    <t>1SDA042512R0001</t>
  </si>
  <si>
    <t>1SDA042533R0001</t>
  </si>
  <si>
    <t>1SDA043425R0001</t>
  </si>
  <si>
    <t>1SDA042518R0001</t>
  </si>
  <si>
    <t>1SDA042531R0001</t>
  </si>
  <si>
    <t>1SDA043423R0001</t>
  </si>
  <si>
    <t>1SDA042516R0001</t>
  </si>
  <si>
    <t>1SDA042420R0001</t>
  </si>
  <si>
    <t>1SDA042390R0001</t>
  </si>
  <si>
    <t>1SDA042405R0001</t>
  </si>
  <si>
    <t>1SDA042424R0001</t>
  </si>
  <si>
    <t>1SDA042394R0001</t>
  </si>
  <si>
    <t>1SDA042409R0001</t>
  </si>
  <si>
    <t>1SDA042422R0001</t>
  </si>
  <si>
    <t>1SDA042392R0001</t>
  </si>
  <si>
    <t>1SDA042407R0001</t>
  </si>
  <si>
    <t>1SDA042428R0001</t>
  </si>
  <si>
    <t>1SDA042398R0001</t>
  </si>
  <si>
    <t>1SDA042413R0001</t>
  </si>
  <si>
    <t>1SDA042426R0001</t>
  </si>
  <si>
    <t>1SDA042396R0001</t>
  </si>
  <si>
    <t>1SDA042411R0001</t>
  </si>
  <si>
    <t>1SDA042645R0001</t>
  </si>
  <si>
    <t>1SDA042615R0001</t>
  </si>
  <si>
    <t>1SDA042630R0001</t>
  </si>
  <si>
    <t>1SDA042649R0001</t>
  </si>
  <si>
    <t>1SDA042619R0001</t>
  </si>
  <si>
    <t>1SDA042634R0001</t>
  </si>
  <si>
    <t>1SDA042647R0001</t>
  </si>
  <si>
    <t>1SDA042617R0001</t>
  </si>
  <si>
    <t>1SDA042632R0001</t>
  </si>
  <si>
    <t>1SDA042653R0001</t>
  </si>
  <si>
    <t>1SDA042623R0001</t>
  </si>
  <si>
    <t>1SDA042638R0001</t>
  </si>
  <si>
    <t>1SDA042651R0001</t>
  </si>
  <si>
    <t>1SDA042621R0001</t>
  </si>
  <si>
    <t>1SDA042636R0001</t>
  </si>
  <si>
    <t>1SDA042540R0001</t>
  </si>
  <si>
    <t>1SDA042544R0001</t>
  </si>
  <si>
    <t>1SDA042542R0001</t>
  </si>
  <si>
    <t>1SDA042548R0001</t>
  </si>
  <si>
    <t>1SDA042546R0001</t>
  </si>
  <si>
    <t>1SDA042435R0001</t>
  </si>
  <si>
    <t>1SDA042439R0001</t>
  </si>
  <si>
    <t>1SDA042437R0001</t>
  </si>
  <si>
    <t>1SDA042443R0001</t>
  </si>
  <si>
    <t>1SDA042441R0001</t>
  </si>
  <si>
    <t>1SDA042660R0001</t>
  </si>
  <si>
    <t>1SDA042664R0001</t>
  </si>
  <si>
    <t>1SDA042662R0001</t>
  </si>
  <si>
    <t>1SDA042668R0001</t>
  </si>
  <si>
    <t>1SDA042666R0001</t>
  </si>
  <si>
    <t>1SDA042930R0001</t>
  </si>
  <si>
    <t>1SDA042914R0001</t>
  </si>
  <si>
    <t>1SDA042922R0001</t>
  </si>
  <si>
    <t>1SDA042932R0001</t>
  </si>
  <si>
    <t>1SDA042916R0001</t>
  </si>
  <si>
    <t>1SDA042924R0001</t>
  </si>
  <si>
    <t>1SDA042931R0001</t>
  </si>
  <si>
    <t>1SDA042915R0001</t>
  </si>
  <si>
    <t>1SDA042923R0001</t>
  </si>
  <si>
    <t>1SDA042934R0001</t>
  </si>
  <si>
    <t>1SDA042918R0001</t>
  </si>
  <si>
    <t>1SDA042926R0001</t>
  </si>
  <si>
    <t>1SDA042933R0001</t>
  </si>
  <si>
    <t>1SDA042917R0001</t>
  </si>
  <si>
    <t>1SDA042925R0001</t>
  </si>
  <si>
    <t>1SDA043009R0001</t>
  </si>
  <si>
    <t>1SDA042979R0001</t>
  </si>
  <si>
    <t>1SDA042994R0001</t>
  </si>
  <si>
    <t>1SDA043013R0001</t>
  </si>
  <si>
    <t>1SDA042983R0001</t>
  </si>
  <si>
    <t>1SDA042998R0001</t>
  </si>
  <si>
    <t>1SDA043011R0001</t>
  </si>
  <si>
    <t>1SDA042981R0001</t>
  </si>
  <si>
    <t>1SDA042996R0001</t>
  </si>
  <si>
    <t>1SDA043017R0001</t>
  </si>
  <si>
    <t>1SDA042987R0001</t>
  </si>
  <si>
    <t>1SDA043002R0001</t>
  </si>
  <si>
    <t>1SDA043015R0001</t>
  </si>
  <si>
    <t>1SDA042985R0001</t>
  </si>
  <si>
    <t>1SDA043000R0001</t>
  </si>
  <si>
    <t>1SDA042705R0001</t>
  </si>
  <si>
    <t>1SDA042675R0001</t>
  </si>
  <si>
    <t>1SDA042690R0001</t>
  </si>
  <si>
    <t>1SDA042709R0001</t>
  </si>
  <si>
    <t>1SDA042679R0001</t>
  </si>
  <si>
    <t>1SDA042694R0001</t>
  </si>
  <si>
    <t>1SDA042707R0001</t>
  </si>
  <si>
    <t>1SDA042677R0001</t>
  </si>
  <si>
    <t>1SDA042692R0001</t>
  </si>
  <si>
    <t>1SDA042713R0001</t>
  </si>
  <si>
    <t>1SDA042683R0001</t>
  </si>
  <si>
    <t>1SDA042698R0001</t>
  </si>
  <si>
    <t>1SDA042711R0001</t>
  </si>
  <si>
    <t>1SDA042681R0001</t>
  </si>
  <si>
    <t>1SDA042696R0001</t>
  </si>
  <si>
    <t>1SDA043129R0001</t>
  </si>
  <si>
    <t>1SDA043099R0001</t>
  </si>
  <si>
    <t>1SDA043114R0001</t>
  </si>
  <si>
    <t>1SDA043133R0001</t>
  </si>
  <si>
    <t>1SDA043103R0001</t>
  </si>
  <si>
    <t>1SDA043118R0001</t>
  </si>
  <si>
    <t>E2N 1250 PR111/P-LSI-In=1250A 4p F F</t>
  </si>
  <si>
    <t>E2N 1250 PR111/P-LSI-In=1250A 4p F HR</t>
  </si>
  <si>
    <t>E4H 4000 PR112/P-LSI-In=4000A 4p F F</t>
  </si>
  <si>
    <t>E4H 4000 PR112/P-LSI-In=4000A 4p F HR</t>
  </si>
  <si>
    <t>E4H 4000 PR112/P-LSI-In=4000A 4p F VR</t>
  </si>
  <si>
    <t>E4H 3200 PR111/P-LI-In=3200A 4p W MP</t>
  </si>
  <si>
    <t>E2B 2000 PR111/P-LSIG-In=2000A 3p F F</t>
  </si>
  <si>
    <t>E2B 2000 PR111/P-LSIG-In=2000A 3p F HR</t>
  </si>
  <si>
    <t>E2B 2000 PR111/P-LSIG-In=2000A 3p F VR</t>
  </si>
  <si>
    <t>E2B 2000 PR111/P-LSI-In=2000A 3p F F</t>
  </si>
  <si>
    <t>E2B 2000 PR111/P-LSI-In=2000A 3p F HR</t>
  </si>
  <si>
    <t>E2B 2000 PR111/P-LSI-In=2000A 3p F VR</t>
  </si>
  <si>
    <t>E2L 1600 PR112/P-LSI-In=1600A 3p F F</t>
  </si>
  <si>
    <t>E2L 1600 PR112/P-LSI-In=1600A 3p F HR</t>
  </si>
  <si>
    <t>E2L 1600 PR112/P-LSI-In=1600A 3p F VR</t>
  </si>
  <si>
    <t>E2B 2000 PR111/P-LI-In=2000A 3p F F</t>
  </si>
  <si>
    <t>E2B 2000 PR111/P-LI-In=2000A 3p F HR</t>
  </si>
  <si>
    <t>E2B 2000 PR111/P-LI-In=2000A 3p F VR</t>
  </si>
  <si>
    <t>E6V 5000 PR112/P-LSIG-In=5000A 4p F VR</t>
  </si>
  <si>
    <t>E6V 5000 PR112/P-LSI-In=5000A 4p F F</t>
  </si>
  <si>
    <t>E6V 5000 PR112/P-LSI-In=5000A 4p F HR</t>
  </si>
  <si>
    <t>E6V 5000 PR112/P-LSI-In=5000A 4p F VR</t>
  </si>
  <si>
    <t>E6H 6300 PR111/P-LI-In=6300A 4p F F</t>
  </si>
  <si>
    <t>E6H 6300 PR111/P-LI-In=6300A 4p F HR</t>
  </si>
  <si>
    <t>E6H 6300 PR111/P-LI-In=6300A 4p F VR</t>
  </si>
  <si>
    <t>E6H 6300 PR111/P-LSIG-In=6300A 4p F F</t>
  </si>
  <si>
    <t>E6H 6300 PR111/P-LSIG-In=6300A 4p F HR</t>
  </si>
  <si>
    <t>E6H 6300 PR111/P-LSIG-In=6300A 4p F VR</t>
  </si>
  <si>
    <t>E6H 6300 PR111/P-LSI-In=6300A 4p F F</t>
  </si>
  <si>
    <t>E3S 3200 PR112/P-LSI-In=3200A 3p F HR</t>
  </si>
  <si>
    <t>E3S 3200 PR112/P-LSI-In=3200A 3p F VR</t>
  </si>
  <si>
    <t>E3H 3200 PR111/P-LI-In=3200A 3p F F</t>
  </si>
  <si>
    <t>E3H 3200 PR111/P-LI-In=3200A 3p F HR</t>
  </si>
  <si>
    <t>E3H 3200 PR111/P-LI-In=3200A 3p F VR</t>
  </si>
  <si>
    <t>E3H 1250 PR111/P-LSIG-In=1250A 3p F F</t>
  </si>
  <si>
    <t>E3H 1250 PR111/P-LSIG-In=1250A 3p F HR</t>
  </si>
  <si>
    <t>E3H 1250 PR111/P-LSIG-In=1250A 3p F VR</t>
  </si>
  <si>
    <t>E3H 1250 PR111/P-LSI-In=1250A 3p F F</t>
  </si>
  <si>
    <t>E3H 1250 PR111/P-LSI-In=1250A 3p F HR</t>
  </si>
  <si>
    <t>E3H 1250 PR111/P-LSI-In=1250A 3p F VR</t>
  </si>
  <si>
    <t>E3H 1250 PR111/P-LSI-In=800A 3p F HR</t>
  </si>
  <si>
    <t>Technická specifikace</t>
  </si>
  <si>
    <t>Jmenovitý trvalý proud (40°C):</t>
  </si>
  <si>
    <t>Mezní vypínací schopnost (415 Vstř.) Icu:</t>
  </si>
  <si>
    <t>Krátkodobý výdržný proud Icw:</t>
  </si>
  <si>
    <t>Počet pólů:</t>
  </si>
  <si>
    <t>Provedení:</t>
  </si>
  <si>
    <t>Svorky:</t>
  </si>
  <si>
    <t>Elektronická spoušť:</t>
  </si>
  <si>
    <t>Ochrany:</t>
  </si>
  <si>
    <t>Pozn.:</t>
  </si>
  <si>
    <t>[A]</t>
  </si>
  <si>
    <t>[kA]</t>
  </si>
  <si>
    <t>Druh:</t>
  </si>
  <si>
    <t>Selektivní</t>
  </si>
  <si>
    <t>Název</t>
  </si>
  <si>
    <t>Pevná část</t>
  </si>
  <si>
    <t>Příslušenství</t>
  </si>
  <si>
    <t>Cena / Kč</t>
  </si>
  <si>
    <t>E3H 1250 PR112/P-LSIG-In=1250A 3p F F</t>
  </si>
  <si>
    <t>E3H 1250 PR112/P-LSIG-In=1250A 3p F HR</t>
  </si>
  <si>
    <t>E3H 1250 PR112/P-LSIG-In=1250A 3p F VR</t>
  </si>
  <si>
    <t>E3H 1250 PR112/P-LSI-In=1250A 3p F F</t>
  </si>
  <si>
    <t>E3H 1250 PR112/P-LSI-In=1250A 3p F HR</t>
  </si>
  <si>
    <t>PR112/PDM-LSIG MODBUS. E1/6   komunikační modul (příd. kód)</t>
  </si>
  <si>
    <t>PR112/PDL-LSI LON  E1/6   komunikační modul (příd. kód)</t>
  </si>
  <si>
    <t>PR112/PDL-LSIG LON  E1/6   komunikační modul (příd. kód)</t>
  </si>
  <si>
    <t>E2N 2000 PR111/P-LI-In=2000A 4p W MP</t>
  </si>
  <si>
    <t>E2N 2000 PR111/P-LSIG-In=2000A 4p W MP</t>
  </si>
  <si>
    <t>E2N 2000 PR111/P-LSI-In=2000A 4p W MP</t>
  </si>
  <si>
    <t>E2N 2000 PR112/P-LSIG-In=2000A 4p W MP</t>
  </si>
  <si>
    <t>E2N 2000 PR112/P-LSI-In=2000A 4p W MP</t>
  </si>
  <si>
    <t>E3S 1250 PR111/P-LI-In=1250A 3p F F</t>
  </si>
  <si>
    <t>E3S</t>
  </si>
  <si>
    <t>E3S 1250 PR111/P-LI-In=1250A 3p F HR</t>
  </si>
  <si>
    <t>E3S 1250 PR111/P-LI-In=1250A 3p F VR</t>
  </si>
  <si>
    <t>E3S 1250 PR111/P-LSIG-In=1250A 3p F F</t>
  </si>
  <si>
    <t>E3S 1250 PR111/P-LSIG-In=1250A 3p F HR</t>
  </si>
  <si>
    <t>E2N 1600 PR111/P-LSIG-In=1600A 3p W MP</t>
  </si>
  <si>
    <t>E2N 1600 PR111/P-LSI-In=1600A 3p W MP</t>
  </si>
  <si>
    <t>E2N 1600 PR112/P-LSIG-In=1600A 3p W MP</t>
  </si>
  <si>
    <t>E2N 1600 PR112/P-LSI-In=1600A 3p W MP</t>
  </si>
  <si>
    <t>E2L 1600 PR111/P-LI-In=1600A 3p W MP</t>
  </si>
  <si>
    <t>E2L 1600 PR111/P-LSIG-In=1600A 3p W MP</t>
  </si>
  <si>
    <t>E2L 1600 PR111/P-LSI-In=1600A 3p W MP</t>
  </si>
  <si>
    <t>E2L 1600 PR112/P-LSIG-In=1600A 3p W MP</t>
  </si>
  <si>
    <t>E2L 1600 PR112/P-LSI-In=1600A 3p W MP</t>
  </si>
  <si>
    <t>E2B 2000 PR111/P-LI-In=2000A 3p W MP</t>
  </si>
  <si>
    <t>E2B 2000 PR111/P-LSIG-In=2000A 3p W MP</t>
  </si>
  <si>
    <t>E6V 4000 PR112/P-LSI-In=4000A 4p W MP</t>
  </si>
  <si>
    <t>E6H 5000 PR111/P-LI-In=5000A 4p W MP</t>
  </si>
  <si>
    <t>E6H 5000 PR111/P-LSIG-In=5000A 4p W MP</t>
  </si>
  <si>
    <t>M4</t>
  </si>
  <si>
    <t>E</t>
  </si>
  <si>
    <t>K1</t>
  </si>
  <si>
    <t>K2</t>
  </si>
  <si>
    <t>K3</t>
  </si>
  <si>
    <t>K4</t>
  </si>
  <si>
    <t>K5</t>
  </si>
  <si>
    <t>B1</t>
  </si>
  <si>
    <t>B2</t>
  </si>
  <si>
    <t>B3</t>
  </si>
  <si>
    <t>B4</t>
  </si>
  <si>
    <t>1000VAC</t>
  </si>
  <si>
    <t>1SDA048527R0001</t>
  </si>
  <si>
    <t>E2B/E 16 verze pro 1000V AC (příd. kód)</t>
  </si>
  <si>
    <t>E2B/E 20 verze pro 1000V AC (příd. kód)</t>
  </si>
  <si>
    <t>1SDA048529R0001</t>
  </si>
  <si>
    <t>E2N/E 12 verze pro 1000V AC (příd. kód)</t>
  </si>
  <si>
    <t>1SDA048530R0001</t>
  </si>
  <si>
    <t>E2N/E 16 verze pro 1000V AC (příd. kód)</t>
  </si>
  <si>
    <t>E2N/E 20 verze pro 1000V AC (příd. kód)</t>
  </si>
  <si>
    <t>1SDA048532R0001</t>
  </si>
  <si>
    <t>E3H/E 12 verze pro 1000V AC (příd. kód)</t>
  </si>
  <si>
    <t>1SDA048533R0001</t>
  </si>
  <si>
    <t>E3H/E 16 verze pro 1000V AC (příd. kód)</t>
  </si>
  <si>
    <t>1SDA048534R0001</t>
  </si>
  <si>
    <t>E3H/E 20 verze pro 1000V AC (příd. kód)</t>
  </si>
  <si>
    <t>1SDA048535R0001</t>
  </si>
  <si>
    <t>PC5</t>
  </si>
  <si>
    <t>PC6</t>
  </si>
  <si>
    <t>BM</t>
  </si>
  <si>
    <t>T</t>
  </si>
  <si>
    <t>Z</t>
  </si>
  <si>
    <t>Obj. číslo</t>
  </si>
  <si>
    <t>pos.</t>
  </si>
  <si>
    <t>Plat.</t>
  </si>
  <si>
    <t>E6V 5000 PR111/P-LSI-In=5000A 4p W MP</t>
  </si>
  <si>
    <t>E6V 5000 PR112/P-LSIG-In=5000A 4p W MP</t>
  </si>
  <si>
    <t>E6V 5000 PR112/P-LSI-In=5000A 4p W MP</t>
  </si>
  <si>
    <t>E6H 6300 PR111/P-LI-In=6300A 4p W MP</t>
  </si>
  <si>
    <t>E6H 6300 PR111/P-LSIG-In=6300A 4p W MP</t>
  </si>
  <si>
    <t>E6H 6300 PR111/P-LSI-In=6300A 4p W MP</t>
  </si>
  <si>
    <t>E6H 6300 PR112/P-LSIG-In=6300A 4p W MP</t>
  </si>
  <si>
    <t>E6H 6300 PR112/P-LSI-In=6300A 4p W MP</t>
  </si>
  <si>
    <t>Vypínací cívka</t>
  </si>
  <si>
    <t>Zapínací cívka</t>
  </si>
  <si>
    <t>Podpěťová cívka</t>
  </si>
  <si>
    <t>Motorový střadač</t>
  </si>
  <si>
    <t>E6V 3200 PR111/P-LI-In=3200A 4p F HR</t>
  </si>
  <si>
    <t>E6V 3200 PR111/P-LI-In=3200A 4p F VR</t>
  </si>
  <si>
    <t>E6V 3200 PR111/P-LSIG-In=3200A 4p F F</t>
  </si>
  <si>
    <t>E6V 3200 PR111/P-LSIG-In=3200A 4p F HR</t>
  </si>
  <si>
    <t>E6V 3200 PR111/P-LSIG-In=3200A 4p F VR</t>
  </si>
  <si>
    <t>E6V 3200 PR111/P-LSI-In=3200A 4p F F</t>
  </si>
  <si>
    <t>E6V 3200 PR111/P-LSI-In=3200A 4p F HR</t>
  </si>
  <si>
    <t>E6V 3200 PR111/P-LSI-In=3200A 4p F VR</t>
  </si>
  <si>
    <t>E6V 3200 PR112/P-LSIG-In=3200A 4p F F</t>
  </si>
  <si>
    <t>E6V 3200 PR112/P-LSIG-In=3200A 4p F HR</t>
  </si>
  <si>
    <t>E6V 3200 PR112/P-LSIG-In=3200A 4p F VR</t>
  </si>
  <si>
    <t>E6V 3200 PR112/P-LSI-In=3200A 4p F F</t>
  </si>
  <si>
    <t>Icm=75,6kA (peak)</t>
  </si>
  <si>
    <t>Icm=121kA (peak)</t>
  </si>
  <si>
    <t>Icm=165kA (peak)</t>
  </si>
  <si>
    <t>Icm=143kA (peak)</t>
  </si>
  <si>
    <t>Icm=220kA (peak)</t>
  </si>
  <si>
    <t>1SDA042488R0001</t>
  </si>
  <si>
    <t>1SDA042458R0001</t>
  </si>
  <si>
    <t>1SDA042473R0001</t>
  </si>
  <si>
    <t>1SDA042486R0001</t>
  </si>
  <si>
    <t>1SDA042456R0001</t>
  </si>
  <si>
    <t>1SDA042471R0001</t>
  </si>
  <si>
    <t>1SDA042360R0001</t>
  </si>
  <si>
    <t>1SDA042330R0001</t>
  </si>
  <si>
    <t>1SDA042345R0001</t>
  </si>
  <si>
    <t>E1B 1250 PR112/P-LSI-In=1250A 4p F F</t>
  </si>
  <si>
    <t>E1B 1250 PR112/P-LSI-In=1250A 4p F HR</t>
  </si>
  <si>
    <t>E1B 1250 PR112/P-LSI-In=1250A 4p F VR</t>
  </si>
  <si>
    <t>E3S 1250 PR111/P-LI-In=1250A 4p F HR</t>
  </si>
  <si>
    <t>E3S 1250 PR111/P-LI-In=1250A 4p F VR</t>
  </si>
  <si>
    <t>E3S 1250 PR111/P-LSIG-In=1250A 4p F F</t>
  </si>
  <si>
    <t>E3S 1250 PR111/P-LSIG-In=1250A 4p F HR</t>
  </si>
  <si>
    <t>E3S 1250 PR111/P-LSIG-In=1250A 4p F VR</t>
  </si>
  <si>
    <t>E3S 1250 PR111/P-LSI-In=1250A 4p F F</t>
  </si>
  <si>
    <t>E3S 1250 PR111/P-LSI-In=1250A 4p F HR</t>
  </si>
  <si>
    <t>E3S 1250 PR111/P-LSI-In=1250A 4p F VR</t>
  </si>
  <si>
    <t>E3S 1250 PR112/P-LSIG-In=1250A 4p F F</t>
  </si>
  <si>
    <t>E3S 1250 PR112/P-LSIG-In=1250A 4p F HR</t>
  </si>
  <si>
    <t>E3S 1250 PR112/P-LSIG-In=1250A 4p F VR</t>
  </si>
  <si>
    <t>E3S 1250 PR112/P-LSI-In=1250A 4p F F</t>
  </si>
  <si>
    <t>E3S 1250 PR112/P-LSI-In=1250A 4p F HR</t>
  </si>
  <si>
    <t>E3S 1250 PR112/P-LSI-In=1250A 4p F VR</t>
  </si>
  <si>
    <t>E3H 1250 PR111/P-LI-In=1250A 4p F F</t>
  </si>
  <si>
    <t>E3H 1250 PR111/P-LI-In=1250A 4p F HR</t>
  </si>
  <si>
    <t>E3H 1250 PR111/P-LI-In=1250A 4p F VR</t>
  </si>
  <si>
    <t>E3H 1250 PR111/P-LSIG-In=1250A 4p F F</t>
  </si>
  <si>
    <t>E3H 1250 PR111/P-LSIG-In=1250A 4p F HR</t>
  </si>
  <si>
    <t>E3H 1250 PR111/P-LSIG-In=1250A 4p F VR</t>
  </si>
  <si>
    <t>E3H 3200 PR112/P-LSIG-In=3200A 4p F F</t>
  </si>
  <si>
    <t>E3H 3200 PR112/P-LSIG-In=3200A 4p F HR</t>
  </si>
  <si>
    <t>E3H 3200 PR112/P-LSIG-In=3200A 4p F VR</t>
  </si>
  <si>
    <t>E3H 3200 PR112/P-LSI-In=3200A 4p F F</t>
  </si>
  <si>
    <t>E3H 3200 PR112/P-LSI-In=3200A 4p F HR</t>
  </si>
  <si>
    <t>E3H 3200 PR112/P-LSI-In=3200A 4p F VR</t>
  </si>
  <si>
    <t>E3S 1250 PR111/P-LI-In=1250A 4p W MP</t>
  </si>
  <si>
    <t>E3S 1250 PR111/P-LSIG-In=1250A 4p W MP</t>
  </si>
  <si>
    <t>E3S 1250 PR111/P-LSI-In=1250A 4p W MP</t>
  </si>
  <si>
    <t>E3S 1250 PR112/P-LSIG-In=1250A 4p W MP</t>
  </si>
  <si>
    <t>E3S 1250 PR112/P-LSI-In=1250A 4p W MP</t>
  </si>
  <si>
    <t>E3H 1250 PR111/P-LI-In=1250A 4p W MP</t>
  </si>
  <si>
    <t>E3H 1250 PR111/P-LSIG-In=1250A 4p W MP</t>
  </si>
  <si>
    <t>E3H 1250 PR111/P-LSI-In=1250A 4p W MP</t>
  </si>
  <si>
    <t>E3H 1250 PR112/P-LSIG-In=1250A 4p W MP</t>
  </si>
  <si>
    <t>E3H 1250 PR112/P-LSI-In=1250A 4p W MP</t>
  </si>
  <si>
    <t>E3S 1600 PR111/P-LI-In=1600A 4p W MP</t>
  </si>
  <si>
    <t>E3L 2500 PR111/P-LSIG-In=2500A 3p F VR</t>
  </si>
  <si>
    <t>E3L 2500 PR111/P-LSI-In=2500A 3p F F</t>
  </si>
  <si>
    <t>E3L 2500 PR111/P-LSI-In=2500A 3p F HR</t>
  </si>
  <si>
    <t>E3L 2500 PR111/P-LSI-In=2500A 3p F VR</t>
  </si>
  <si>
    <t>E3L 2500 PR112/P-LSIG-In=2500A 3p F F</t>
  </si>
  <si>
    <t>E3L 2500 PR112/P-LSIG-In=2500A 3p F HR</t>
  </si>
  <si>
    <t>E3L 2500 PR112/P-LSIG-In=2500A 3p F VR</t>
  </si>
  <si>
    <t>E3L 2500 PR112/P-LSI-In=2500A 3p F F</t>
  </si>
  <si>
    <t>E3L 2500 PR112/P-LSI-In=2500A 3p F HR</t>
  </si>
  <si>
    <t>E3L 2500 PR112/P-LSI-In=2500A 3p F VR</t>
  </si>
  <si>
    <t>E3N 3200 PR111/P-LI-In=3200A 3p F F</t>
  </si>
  <si>
    <t>E3N 3200 PR111/P-LI-In=3200A 3p F HR</t>
  </si>
  <si>
    <t>E3N 3200 PR111/P-LI-In=3200A 3p F VR</t>
  </si>
  <si>
    <t>E3N 3200 PR111/P-LSIG-In=3200A 3p F F</t>
  </si>
  <si>
    <t>E3N 3200 PR111/P-LSIG-In=3200A 3p F HR</t>
  </si>
  <si>
    <t>E3N 3200 PR111/P-LSIG-In=3200A 3p F VR</t>
  </si>
  <si>
    <t>E3S 2000 PR112/P-LSI-In=2000A 4p F VR</t>
  </si>
  <si>
    <t>E3H 2000 PR111/P-LI-In=2000A 4p F F</t>
  </si>
  <si>
    <t>E3H 2000 PR111/P-LI-In=2000A 4p F HR</t>
  </si>
  <si>
    <t>E3H 2000 PR111/P-LI-In=2000A 4p F VR</t>
  </si>
  <si>
    <t>E3H 2000 PR111/P-LSIG-In=2000A 4p F F</t>
  </si>
  <si>
    <t>E3H 2000 PR111/P-LSIG-In=2000A 4p F HR</t>
  </si>
  <si>
    <t>E3H 2000 PR111/P-LSIG-In=2000A 4p F VR</t>
  </si>
  <si>
    <t>E3H 2000 PR111/P-LSI-In=2000A 4p F F</t>
  </si>
  <si>
    <t>E3H 2000 PR111/P-LSI-In=2000A 4p F HR</t>
  </si>
  <si>
    <t>E3H 2000 PR111/P-LSI-In=2000A 4p F VR</t>
  </si>
  <si>
    <t>E3H 2000 PR112/P-LSIG-In=2000A 4p F F</t>
  </si>
  <si>
    <t>E3H 2000 PR112/P-LSIG-In=2000A 4p F HR</t>
  </si>
  <si>
    <t>E3H 2000 PR112/P-LSIG-In=2000A 4p F VR</t>
  </si>
  <si>
    <t>E3H 2000 PR112/P-LSI-In=2000A 4p F F</t>
  </si>
  <si>
    <t>E3H 2000 PR112/P-LSI-In=2000A 4p F HR</t>
  </si>
  <si>
    <t>E3H 2000 PR112/P-LSI-In=2000A 4p F VR</t>
  </si>
  <si>
    <t>E3L 2000 PR111/P-LI-In=2000A 4p F F</t>
  </si>
  <si>
    <t>E3L 2000 PR111/P-LI-In=2000A 4p F HR</t>
  </si>
  <si>
    <t>E3L 2000 PR111/P-LI-In=2000A 4p F VR</t>
  </si>
  <si>
    <t>E3L 2000 PR111/P-LSIG-In=2000A 4p F F</t>
  </si>
  <si>
    <t>E3L 2000 PR111/P-LSIG-In=2000A 4p F HR</t>
  </si>
  <si>
    <t>E3L 2000 PR111/P-LSIG-In=2000A 4p F VR</t>
  </si>
  <si>
    <t>E3L 2000 PR111/P-LSI-In=2000A 4p F F</t>
  </si>
  <si>
    <t>E3L 2000 PR111/P-LSI-In=2000A 4p F HR</t>
  </si>
  <si>
    <t>E3L 2000 PR111/P-LSI-In=2000A 4p F VR</t>
  </si>
  <si>
    <t>E3L 2000 PR112/P-LSIG-In=2000A 4p F F</t>
  </si>
  <si>
    <t>1-01</t>
  </si>
  <si>
    <t>Pevná část včetně příslušenství</t>
  </si>
  <si>
    <t>2-01</t>
  </si>
  <si>
    <t>E3N 3200 PR111/P-LI-In=3200A 4p W MP</t>
  </si>
  <si>
    <t>E3N 3200 PR111/P-LSIG-In=3200A 4p W MP</t>
  </si>
  <si>
    <t>E3N 3200 PR111/P-LSI-In=3200A 4p W MP</t>
  </si>
  <si>
    <t>E3N 3200 PR112/P-LSIG-In=3200A 4p W MP</t>
  </si>
  <si>
    <t>E3N 3200 PR112/P-LSI-In=3200A 4p W MP</t>
  </si>
  <si>
    <t>E3S 3200 PR111/P-LI-In=3200A 4p W MP</t>
  </si>
  <si>
    <t>E3S 3200 PR111/P-LSIG-In=3200A 4p W MP</t>
  </si>
  <si>
    <t>1SDA043131R0001</t>
  </si>
  <si>
    <t>1SDA043101R0001</t>
  </si>
  <si>
    <t>1SDA043116R0001</t>
  </si>
  <si>
    <t>1SDA043137R0001</t>
  </si>
  <si>
    <t>1SDA043107R0001</t>
  </si>
  <si>
    <t>1SDA043122R0001</t>
  </si>
  <si>
    <t>1SDA043135R0001</t>
  </si>
  <si>
    <t>1SDA043105R0001</t>
  </si>
  <si>
    <t>1SDA043120R0001</t>
  </si>
  <si>
    <t>1SDA042825R0001</t>
  </si>
  <si>
    <t>1SDA042795R0001</t>
  </si>
  <si>
    <t>1SDA042810R0001</t>
  </si>
  <si>
    <t>1SDA042829R0001</t>
  </si>
  <si>
    <t>1SDA042799R0001</t>
  </si>
  <si>
    <t>1SDA042814R0001</t>
  </si>
  <si>
    <t>1SDA042827R0001</t>
  </si>
  <si>
    <t>1SDA042797R0001</t>
  </si>
  <si>
    <t>1SDA042812R0001</t>
  </si>
  <si>
    <t>1SDA042833R0001</t>
  </si>
  <si>
    <t>1SDA042803R0001</t>
  </si>
  <si>
    <t>1SDA042818R0001</t>
  </si>
  <si>
    <t>1SDA042831R0001</t>
  </si>
  <si>
    <t>1SDA042801R0001</t>
  </si>
  <si>
    <t>1SDA042816R0001</t>
  </si>
  <si>
    <t>1SDA043249R0001</t>
  </si>
  <si>
    <t>1SDA043219R0001</t>
  </si>
  <si>
    <t>1SDA043234R0001</t>
  </si>
  <si>
    <t>1SDA043253R0001</t>
  </si>
  <si>
    <t>1SDA043223R0001</t>
  </si>
  <si>
    <t>1SDA043238R0001</t>
  </si>
  <si>
    <t>Tato volba pouze pro jističe!</t>
  </si>
  <si>
    <t>test pro formát:</t>
  </si>
  <si>
    <t>1SDA039151R0001</t>
  </si>
  <si>
    <t>1SDA039093R0001</t>
  </si>
  <si>
    <t>1SDA039122R0001</t>
  </si>
  <si>
    <t>1SDA039163R0001</t>
  </si>
  <si>
    <t>1SDA039105R0001</t>
  </si>
  <si>
    <t>1SDA039134R0001</t>
  </si>
  <si>
    <t>1SDA039159R0001</t>
  </si>
  <si>
    <t>1SDA039101R0001</t>
  </si>
  <si>
    <t>1SDA039130R0001</t>
  </si>
  <si>
    <t>1SDA038978R0001</t>
  </si>
  <si>
    <t>1SDA038984R0001</t>
  </si>
  <si>
    <t>1SDA038981R0001</t>
  </si>
  <si>
    <t>1SDA038990R0001</t>
  </si>
  <si>
    <t>1SDA038987R0001</t>
  </si>
  <si>
    <t>1SDA039176R0001</t>
  </si>
  <si>
    <t>1SDA039184R0001</t>
  </si>
  <si>
    <t>1SDA039180R0001</t>
  </si>
  <si>
    <t>1SDA039192R0001</t>
  </si>
  <si>
    <t>1SDA039188R0001</t>
  </si>
  <si>
    <t>1SDA039044R0001</t>
  </si>
  <si>
    <t>1SDA039000R0001</t>
  </si>
  <si>
    <t>1SDA039022R0001</t>
  </si>
  <si>
    <t>1SDA039050R0001</t>
  </si>
  <si>
    <t>1SDA039006R0001</t>
  </si>
  <si>
    <t>1SDA039027R0001</t>
  </si>
  <si>
    <t>1SDA039047R0001</t>
  </si>
  <si>
    <t>1SDA039003R0001</t>
  </si>
  <si>
    <t>1SDA039025R0001</t>
  </si>
  <si>
    <t>1SDA039056R0001</t>
  </si>
  <si>
    <t>1SDA039012R0001</t>
  </si>
  <si>
    <t>1SDA039034R0001</t>
  </si>
  <si>
    <t>1SDA039053R0001</t>
  </si>
  <si>
    <t>1SDA039009R0001</t>
  </si>
  <si>
    <t>1SDA039031R0001</t>
  </si>
  <si>
    <t>1SDA039263R0001</t>
  </si>
  <si>
    <t>1SDA039205R0001</t>
  </si>
  <si>
    <t>1SDA039234R0001</t>
  </si>
  <si>
    <t>1SDA039271R0001</t>
  </si>
  <si>
    <t>1SDA039213R0001</t>
  </si>
  <si>
    <t>1SDA039242R0001</t>
  </si>
  <si>
    <t>1SDA039267R0001</t>
  </si>
  <si>
    <t>1SDA039208R0001</t>
  </si>
  <si>
    <t>1SDA039238R0001</t>
  </si>
  <si>
    <t>1SDA039279R0001</t>
  </si>
  <si>
    <t>1SDA039221R0001</t>
  </si>
  <si>
    <t>1SDA039250R0001</t>
  </si>
  <si>
    <t>1SDA039275R0001</t>
  </si>
  <si>
    <t>1SDA039217R0001</t>
  </si>
  <si>
    <t>1SDA039246R0001</t>
  </si>
  <si>
    <t>1SDA039066R0001</t>
  </si>
  <si>
    <t>1SDA039072R0001</t>
  </si>
  <si>
    <t>1SDA039069R0001</t>
  </si>
  <si>
    <t>1SDA039078R0001</t>
  </si>
  <si>
    <t>1SDA039075R0001</t>
  </si>
  <si>
    <t>1SDA039292R0001</t>
  </si>
  <si>
    <t>1SDA039300R0001</t>
  </si>
  <si>
    <t>1SDA039296R0001</t>
  </si>
  <si>
    <t>1SDA039308R0001</t>
  </si>
  <si>
    <t>1SDA039304R0001</t>
  </si>
  <si>
    <t>1SDA039730R0001</t>
  </si>
  <si>
    <t>1SDA039673R0001</t>
  </si>
  <si>
    <t>1SDA039702R0001</t>
  </si>
  <si>
    <t>1SDA039738R0001</t>
  </si>
  <si>
    <t>1SDA039681R0001</t>
  </si>
  <si>
    <t>1SDA039710R0001</t>
  </si>
  <si>
    <t>1SDA039734R0001</t>
  </si>
  <si>
    <t>1SDA039677R0001</t>
  </si>
  <si>
    <t>1SDA039706R0001</t>
  </si>
  <si>
    <t>1SDA039746R0001</t>
  </si>
  <si>
    <t>1SDA039689R0001</t>
  </si>
  <si>
    <t>1SDA039718R0001</t>
  </si>
  <si>
    <t>1SDA039742R0001</t>
  </si>
  <si>
    <t>1SDA039685R0001</t>
  </si>
  <si>
    <t>1SDA039714R0001</t>
  </si>
  <si>
    <t>1SDA040263R0001</t>
  </si>
  <si>
    <t>1SDA043390R0001</t>
  </si>
  <si>
    <t>1SDA040234R0001</t>
  </si>
  <si>
    <t>1SDA040271R0001</t>
  </si>
  <si>
    <t>1SDA043398R0001</t>
  </si>
  <si>
    <t>1SDA040242R0001</t>
  </si>
  <si>
    <t>1SDA040266R0001</t>
  </si>
  <si>
    <t>1SDA043394R0001</t>
  </si>
  <si>
    <t>1SDA040238R0001</t>
  </si>
  <si>
    <t>1SDA043391R0001</t>
  </si>
  <si>
    <t>1SDA040453R0001</t>
  </si>
  <si>
    <t>1SDA043393R0001</t>
  </si>
  <si>
    <t>1SDA040279R0001</t>
  </si>
  <si>
    <t>1SDA043406R0001</t>
  </si>
  <si>
    <t>1SDA040250R0001</t>
  </si>
  <si>
    <t>1SDA040275R0001</t>
  </si>
  <si>
    <t>1SDA043402R0001</t>
  </si>
  <si>
    <t>1SDA040246R0001</t>
  </si>
  <si>
    <t>1SDA039364R0001</t>
  </si>
  <si>
    <t>1SDA039320R0001</t>
  </si>
  <si>
    <t>1SDA039342R0001</t>
  </si>
  <si>
    <t>1SDA039370R0001</t>
  </si>
  <si>
    <t>1SDA039326R0001</t>
  </si>
  <si>
    <t>1SDA039348R0001</t>
  </si>
  <si>
    <t>1SDA039367R0001</t>
  </si>
  <si>
    <t>1SDA039323R0001</t>
  </si>
  <si>
    <t>1SDA039345R0001</t>
  </si>
  <si>
    <t>1SDA039376R0001</t>
  </si>
  <si>
    <t>1SDA039332R0001</t>
  </si>
  <si>
    <t>1SDA039354R0001</t>
  </si>
  <si>
    <t>1SDA039373R0001</t>
  </si>
  <si>
    <t>1SDA039329R0001</t>
  </si>
  <si>
    <t>1SDA039351R0001</t>
  </si>
  <si>
    <t>1SDA039947R0001</t>
  </si>
  <si>
    <t>1SDA039903R0001</t>
  </si>
  <si>
    <t>Zlacené pomocné kontakty</t>
  </si>
  <si>
    <t>Zlacené poziční kontakty</t>
  </si>
  <si>
    <t>Zlacení kontaktů:</t>
  </si>
  <si>
    <t>Nač zlatit poziční kontakty u pevného jističe?!</t>
  </si>
  <si>
    <t>Proč zlatit poziční kontakty, když žádné nechceš?!</t>
  </si>
  <si>
    <t>Proč zlatit pomocné kontakty, když žádné nechceš?!</t>
  </si>
  <si>
    <t>1SDA050153R0001</t>
  </si>
  <si>
    <t>4x pomocný kontakt pro digitální signály</t>
  </si>
  <si>
    <t>1SDA050152R0001</t>
  </si>
  <si>
    <t>10x pomocný kontakt pro digitální signály</t>
  </si>
  <si>
    <t>1SDA050145R0001</t>
  </si>
  <si>
    <t>1SDA050151R0001</t>
  </si>
  <si>
    <t>1SDA037701R0001</t>
  </si>
  <si>
    <t>1SDA037702R0001</t>
  </si>
  <si>
    <t>1SDA037703R0001</t>
  </si>
  <si>
    <t>1SDA037704R0001</t>
  </si>
  <si>
    <t>1SDA037705R0001</t>
  </si>
  <si>
    <t>1SDA037706R0001</t>
  </si>
  <si>
    <t>E6V 3200 PR112/P-LSIG-In=3200A 3p F F</t>
  </si>
  <si>
    <t>E6V 3200 PR112/P-LSIG-In=3200A 3p F HR</t>
  </si>
  <si>
    <t>E6V 3200 PR112/P-LSIG-In=3200A 3p F VR</t>
  </si>
  <si>
    <t>E6V 3200 PR112/P-LSI-In=3200A 3p F F</t>
  </si>
  <si>
    <t>E6V 3200 PR112/P-LSI-In=3200A 3p F HR</t>
  </si>
  <si>
    <t>E6V 3200 PR112/P-LSI-In=3200A 3p F VR</t>
  </si>
  <si>
    <t>E6V 4000 PR111/P-LI-In=4000A 3p F F</t>
  </si>
  <si>
    <t>N1</t>
  </si>
  <si>
    <t>N2</t>
  </si>
  <si>
    <t>Kód pro SAP:</t>
  </si>
  <si>
    <t>SAP kód  - PČ:</t>
  </si>
  <si>
    <t>E2B 2000 PR112/P-LSIG-In=2000A 3p F F</t>
  </si>
  <si>
    <t>E2B 2000 PR112/P-LSIG-In=2000A 3p F HR</t>
  </si>
  <si>
    <t>E2B 2000 PR112/P-LSIG-In=2000A 3p F VR</t>
  </si>
  <si>
    <t>E2B 2000 PR112/P-LSI-In=2000A 3p F F</t>
  </si>
  <si>
    <t>E3S/MS 1600  4p F VR</t>
  </si>
  <si>
    <t>E3S/MS 2000  4p F VR</t>
  </si>
  <si>
    <t>E3S/MS 2500  4p F VR</t>
  </si>
  <si>
    <t>E3S/MS 3200  4p F VR</t>
  </si>
  <si>
    <t>E3S/MS 3200  3p F VR</t>
  </si>
  <si>
    <t>E3S/MS 2500  3p F VR</t>
  </si>
  <si>
    <t>E3S/MS 2000  3p F VR</t>
  </si>
  <si>
    <t>E3S/MS 1600  3p F VR</t>
  </si>
  <si>
    <t>E4S/MS 4000  4p F VR</t>
  </si>
  <si>
    <t>E4S/MS 4000  3p F VR</t>
  </si>
  <si>
    <t>E4H/MS 3200  3p F VR</t>
  </si>
  <si>
    <t>E4H/MS 4000  3p F VR</t>
  </si>
  <si>
    <t>..........................................</t>
  </si>
  <si>
    <t>CTs  EXT. NEUTRAL In=3200A E3-6</t>
  </si>
  <si>
    <t>CTs  EXT. NEUTRAL In=4000A E6</t>
  </si>
  <si>
    <t>CTs  EXT. NEUTRAL In=5000A E6</t>
  </si>
  <si>
    <t>CTs  EXT. NEUTRAL In=6300A E6</t>
  </si>
  <si>
    <t>Signalizace nastřádaní pružiny</t>
  </si>
  <si>
    <t>4x pomocný kontakt</t>
  </si>
  <si>
    <t>L - nadproudová ochrana se zpožděním</t>
  </si>
  <si>
    <t>S - selektivní zkratová ochrana</t>
  </si>
  <si>
    <t>I - okamžitá zkratová ochrana</t>
  </si>
  <si>
    <t>G - zemní ochrana se zpožděním</t>
  </si>
  <si>
    <t>Zadní svislé svorky pro E2 3P</t>
  </si>
  <si>
    <t>Zadní svislé svorky pro E3 3P</t>
  </si>
  <si>
    <t>Zadní svislé svorky pro E4 3P</t>
  </si>
  <si>
    <t>Zadní svislé svorky pro E6 3P</t>
  </si>
  <si>
    <t>Zadní svislé svorky pro E1 4P</t>
  </si>
  <si>
    <t>Zadní svislé svorky pro E2 4P</t>
  </si>
  <si>
    <t>Zadní svislé svorky pro E3 4P</t>
  </si>
  <si>
    <t>Zadní svislé svorky pro E4 4P</t>
  </si>
  <si>
    <t>Zadní svislé svorky pro E6 4P</t>
  </si>
  <si>
    <t>Zadní svislé svorky pro E1 3P</t>
  </si>
  <si>
    <t>Přední svorky pro E2 3P</t>
  </si>
  <si>
    <t>Přední svorky pro E3 3P</t>
  </si>
  <si>
    <t>Přední svorky pro E4 3P</t>
  </si>
  <si>
    <t>Přední svorky pro E6 3P</t>
  </si>
  <si>
    <t>Přední svorky pro E1 4P</t>
  </si>
  <si>
    <t>Přední svorky pro E2 4P</t>
  </si>
  <si>
    <t>Přední svorky pro E3 4P</t>
  </si>
  <si>
    <t>Přední svorky pro E4 4P</t>
  </si>
  <si>
    <t>Přední svorky pro E6 4P</t>
  </si>
  <si>
    <t>Přední svorky pro E1 3P</t>
  </si>
  <si>
    <t>E2N 2000 PR111/P-LSIG-In=2000A 3p F F</t>
  </si>
  <si>
    <t>E2N 2000 PR111/P-LSIG-In=2000A 3p F HR</t>
  </si>
  <si>
    <t>E2N 2000 PR111/P-LSIG-In=2000A 3p F VR</t>
  </si>
  <si>
    <t>1SDA037847R0001</t>
  </si>
  <si>
    <t>1SDA037842R0001</t>
  </si>
  <si>
    <t>1SDA037837R0001</t>
  </si>
  <si>
    <t>1SDA037832R0001</t>
  </si>
  <si>
    <t>1SDA037969R0001</t>
  </si>
  <si>
    <t>1SDA037838R0001</t>
  </si>
  <si>
    <t>1SDA037899R0001</t>
  </si>
  <si>
    <t>1SDA040318R0001</t>
  </si>
  <si>
    <t>1SDA037964R0001</t>
  </si>
  <si>
    <t>1SDA037959R0001</t>
  </si>
  <si>
    <t>1SDA037954R0001</t>
  </si>
  <si>
    <t>1SDA037949R0001</t>
  </si>
  <si>
    <t>1SDA037944R0001</t>
  </si>
  <si>
    <t>1SDA037939R0001</t>
  </si>
  <si>
    <t>1SDA037934R0001</t>
  </si>
  <si>
    <t>1SDA037919R0001</t>
  </si>
  <si>
    <t>1SDA037904R0001</t>
  </si>
  <si>
    <t>1SDA037894R0001</t>
  </si>
  <si>
    <t>1SDA037869R0001</t>
  </si>
  <si>
    <t>1SDA037833R0001</t>
  </si>
  <si>
    <t>1SDA037843R0001</t>
  </si>
  <si>
    <t>1SDA037848R0001</t>
  </si>
  <si>
    <t>1SDA037853R0001</t>
  </si>
  <si>
    <t>1SDA037858R0001</t>
  </si>
  <si>
    <t>1SDA037909R0001</t>
  </si>
  <si>
    <t>1SDA037864R0001</t>
  </si>
  <si>
    <t>1SDA037889R0001</t>
  </si>
  <si>
    <t>1SDA037883R0001</t>
  </si>
  <si>
    <t>1SDA037870R0001</t>
  </si>
  <si>
    <t>1SDA037884R0001</t>
  </si>
  <si>
    <t>1SDA037890R0001</t>
  </si>
  <si>
    <t>1SDA037895R0001</t>
  </si>
  <si>
    <t>1SDA037900R0001</t>
  </si>
  <si>
    <t>Prodej Kč</t>
  </si>
  <si>
    <t>ATS 010 - automatic transfer switch device</t>
  </si>
  <si>
    <t>Elektrická sig. vypnuto spouští</t>
  </si>
  <si>
    <t>E4S/F MS 4000  4p F HR</t>
  </si>
  <si>
    <t>E4S/F MS 4000  4p W MP</t>
  </si>
  <si>
    <t>1SDA041812R0001</t>
  </si>
  <si>
    <t>1SDA041825R0001</t>
  </si>
  <si>
    <t>1SDA041795R0001</t>
  </si>
  <si>
    <t>E1</t>
  </si>
  <si>
    <t>LI.</t>
  </si>
  <si>
    <t>LSI.</t>
  </si>
  <si>
    <t>E2</t>
  </si>
  <si>
    <t>Ics=65kA; Icw=55kA</t>
  </si>
  <si>
    <t>LSIG.</t>
  </si>
  <si>
    <t>E3</t>
  </si>
  <si>
    <t>Ics=75kA; Icw=75kA</t>
  </si>
  <si>
    <t>Ics=85kA; Icw=75kA</t>
  </si>
  <si>
    <t>Jistič</t>
  </si>
  <si>
    <t>130 omez.</t>
  </si>
  <si>
    <t>Ics=130kA; Icw=10kA</t>
  </si>
  <si>
    <t>Objednací číslo:</t>
  </si>
  <si>
    <t>Typ:</t>
  </si>
  <si>
    <t>Ics=130kA; Icw=15kA</t>
  </si>
  <si>
    <t>Ics=65kA; Icw=65kA</t>
  </si>
  <si>
    <t>E4</t>
  </si>
  <si>
    <t>Ics=100kA; Icw=100kA</t>
  </si>
  <si>
    <t>E6</t>
  </si>
  <si>
    <t>Ics=125kA; Icw=100kA</t>
  </si>
  <si>
    <t>In (415V)</t>
  </si>
  <si>
    <t>Icu (kA/415V)</t>
  </si>
  <si>
    <t>Póly</t>
  </si>
  <si>
    <t>Objednací číslo</t>
  </si>
  <si>
    <t>Název - typ</t>
  </si>
  <si>
    <t>Cena</t>
  </si>
  <si>
    <t>Typ</t>
  </si>
  <si>
    <t>Icw</t>
  </si>
  <si>
    <t>Ics</t>
  </si>
  <si>
    <t>Druh</t>
  </si>
  <si>
    <t>PR</t>
  </si>
  <si>
    <t>E1B  800 PR111/P-LI-In=800A 3p F F</t>
  </si>
  <si>
    <t>E1B</t>
  </si>
  <si>
    <t>E1B  800 PR111/P-LI-In=800A 3p F HR</t>
  </si>
  <si>
    <t>E3S 2000 PR111/P-LSIG-In=2000A 4p W MP</t>
  </si>
  <si>
    <t>E3S 2000 PR111/P-LSI-In=2000A 4p W MP</t>
  </si>
  <si>
    <t>E3S 2000 PR112/P-LSIG-In=2000A 4p W MP</t>
  </si>
  <si>
    <t>E3S 2000 PR112/P-LSI-In=2000A 4p W 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</si>
</sst>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_ ;\-0\ "/>
    <numFmt numFmtId="166" formatCode="#,##0.00_ ;\-#,##0.00\ "/>
    <numFmt numFmtId="167" formatCode="#,##0.0000"/>
    <numFmt numFmtId="168" formatCode="0.0000"/>
    <numFmt numFmtId="169" formatCode="#,##0\ &quot;Kč&quot;"/>
    <numFmt numFmtId="170" formatCode="#,##0_ ;\-#,##0\ "/>
    <numFmt numFmtId="171" formatCode="#,##0.0"/>
  </numFmts>
  <fonts count="34">
    <font>
      <sz val="10"/>
      <name val="Arial CE"/>
      <family val="0"/>
    </font>
    <font>
      <b/>
      <sz val="11"/>
      <name val="Arial CE"/>
      <family val="2"/>
    </font>
    <font>
      <sz val="8"/>
      <name val="Tahoma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vertAlign val="subscript"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7"/>
      <name val="Arial CE"/>
      <family val="2"/>
    </font>
    <font>
      <b/>
      <sz val="24"/>
      <name val="Arial CE"/>
      <family val="2"/>
    </font>
    <font>
      <sz val="8"/>
      <color indexed="12"/>
      <name val="Arial CE"/>
      <family val="2"/>
    </font>
    <font>
      <sz val="10"/>
      <color indexed="55"/>
      <name val="Arial CE"/>
      <family val="2"/>
    </font>
    <font>
      <sz val="10"/>
      <color indexed="8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b/>
      <sz val="8"/>
      <color indexed="12"/>
      <name val="Arial CE"/>
      <family val="2"/>
    </font>
    <font>
      <b/>
      <sz val="14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color indexed="2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6" xfId="0" applyNumberFormat="1" applyFont="1" applyBorder="1" applyAlignment="1">
      <alignment/>
    </xf>
    <xf numFmtId="49" fontId="15" fillId="0" borderId="8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0" fontId="15" fillId="0" borderId="7" xfId="0" applyNumberFormat="1" applyFont="1" applyBorder="1" applyAlignment="1">
      <alignment/>
    </xf>
    <xf numFmtId="0" fontId="15" fillId="0" borderId="8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9" xfId="0" applyFont="1" applyBorder="1" applyAlignment="1">
      <alignment/>
    </xf>
    <xf numFmtId="49" fontId="13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1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167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9" fillId="3" borderId="0" xfId="0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3" fontId="0" fillId="3" borderId="0" xfId="0" applyNumberFormat="1" applyFill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2" fontId="3" fillId="2" borderId="0" xfId="0" applyNumberFormat="1" applyFont="1" applyFill="1" applyBorder="1" applyAlignment="1">
      <alignment/>
    </xf>
    <xf numFmtId="42" fontId="3" fillId="2" borderId="5" xfId="0" applyNumberFormat="1" applyFont="1" applyFill="1" applyBorder="1" applyAlignment="1">
      <alignment/>
    </xf>
    <xf numFmtId="42" fontId="3" fillId="2" borderId="0" xfId="0" applyNumberFormat="1" applyFont="1" applyFill="1" applyAlignment="1">
      <alignment/>
    </xf>
    <xf numFmtId="3" fontId="15" fillId="0" borderId="6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6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Alignment="1">
      <alignment/>
    </xf>
    <xf numFmtId="0" fontId="14" fillId="3" borderId="0" xfId="0" applyFont="1" applyFill="1" applyAlignment="1">
      <alignment/>
    </xf>
    <xf numFmtId="3" fontId="1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3" fontId="3" fillId="3" borderId="0" xfId="0" applyNumberFormat="1" applyFont="1" applyFill="1" applyAlignment="1">
      <alignment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3" fontId="0" fillId="5" borderId="17" xfId="0" applyNumberFormat="1" applyFill="1" applyBorder="1" applyAlignment="1">
      <alignment horizontal="center"/>
    </xf>
    <xf numFmtId="3" fontId="0" fillId="5" borderId="17" xfId="0" applyNumberFormat="1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5" borderId="18" xfId="0" applyNumberFormat="1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19" xfId="0" applyBorder="1" applyAlignment="1">
      <alignment/>
    </xf>
    <xf numFmtId="3" fontId="0" fillId="5" borderId="19" xfId="0" applyNumberFormat="1" applyFill="1" applyBorder="1" applyAlignment="1">
      <alignment horizontal="center"/>
    </xf>
    <xf numFmtId="3" fontId="0" fillId="5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4" borderId="15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3" borderId="0" xfId="0" applyNumberFormat="1" applyFont="1" applyFill="1" applyAlignment="1">
      <alignment horizontal="right"/>
    </xf>
    <xf numFmtId="3" fontId="23" fillId="3" borderId="0" xfId="0" applyNumberFormat="1" applyFont="1" applyFill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5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3" fillId="0" borderId="22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26" xfId="0" applyFont="1" applyFill="1" applyBorder="1" applyAlignment="1">
      <alignment/>
    </xf>
    <xf numFmtId="9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 horizontal="center"/>
    </xf>
    <xf numFmtId="9" fontId="3" fillId="0" borderId="0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0" fontId="0" fillId="0" borderId="22" xfId="0" applyFill="1" applyBorder="1" applyAlignment="1">
      <alignment/>
    </xf>
    <xf numFmtId="3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71" fontId="0" fillId="0" borderId="0" xfId="0" applyNumberFormat="1" applyAlignment="1">
      <alignment horizontal="center"/>
    </xf>
    <xf numFmtId="0" fontId="3" fillId="0" borderId="22" xfId="0" applyFont="1" applyFill="1" applyBorder="1" applyAlignment="1">
      <alignment/>
    </xf>
    <xf numFmtId="0" fontId="28" fillId="0" borderId="0" xfId="0" applyFont="1" applyAlignment="1">
      <alignment horizontal="right"/>
    </xf>
    <xf numFmtId="22" fontId="28" fillId="0" borderId="0" xfId="0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22" fontId="29" fillId="0" borderId="0" xfId="0" applyNumberFormat="1" applyFont="1" applyBorder="1" applyAlignment="1">
      <alignment/>
    </xf>
    <xf numFmtId="0" fontId="9" fillId="3" borderId="0" xfId="0" applyFont="1" applyFill="1" applyAlignment="1">
      <alignment horizontal="right"/>
    </xf>
    <xf numFmtId="39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ill="1" applyAlignment="1">
      <alignment/>
    </xf>
    <xf numFmtId="0" fontId="30" fillId="3" borderId="0" xfId="0" applyFont="1" applyFill="1" applyAlignment="1">
      <alignment/>
    </xf>
    <xf numFmtId="0" fontId="14" fillId="0" borderId="15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4" fillId="0" borderId="5" xfId="0" applyFont="1" applyBorder="1" applyAlignment="1">
      <alignment horizontal="center"/>
    </xf>
    <xf numFmtId="169" fontId="9" fillId="0" borderId="5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14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 horizontal="center"/>
    </xf>
    <xf numFmtId="170" fontId="14" fillId="0" borderId="6" xfId="0" applyNumberFormat="1" applyFont="1" applyBorder="1" applyAlignment="1">
      <alignment/>
    </xf>
    <xf numFmtId="170" fontId="14" fillId="0" borderId="0" xfId="0" applyNumberFormat="1" applyFont="1" applyAlignment="1">
      <alignment/>
    </xf>
    <xf numFmtId="170" fontId="14" fillId="0" borderId="6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30" xfId="0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5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16" fontId="0" fillId="0" borderId="0" xfId="0" applyNumberFormat="1" applyFill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9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5" fillId="0" borderId="7" xfId="0" applyFont="1" applyBorder="1" applyAlignment="1">
      <alignment/>
    </xf>
    <xf numFmtId="0" fontId="9" fillId="3" borderId="0" xfId="0" applyFont="1" applyFill="1" applyAlignment="1">
      <alignment/>
    </xf>
    <xf numFmtId="0" fontId="9" fillId="0" borderId="2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0" fontId="1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3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6">
    <dxf>
      <font>
        <color rgb="FFFFFF00"/>
      </font>
      <fill>
        <patternFill>
          <bgColor rgb="FFFF0000"/>
        </patternFill>
      </fill>
      <border/>
    </dxf>
    <dxf>
      <font>
        <b val="0"/>
        <i/>
        <u val="none"/>
        <color rgb="FF808080"/>
      </font>
      <fill>
        <patternFill patternType="lightGray">
          <bgColor indexed="65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>
          <bgColor rgb="FFFFFF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20</xdr:row>
      <xdr:rowOff>190500</xdr:rowOff>
    </xdr:from>
    <xdr:to>
      <xdr:col>6</xdr:col>
      <xdr:colOff>1266825</xdr:colOff>
      <xdr:row>22</xdr:row>
      <xdr:rowOff>28575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40055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20</xdr:row>
      <xdr:rowOff>209550</xdr:rowOff>
    </xdr:from>
    <xdr:to>
      <xdr:col>6</xdr:col>
      <xdr:colOff>1609725</xdr:colOff>
      <xdr:row>22</xdr:row>
      <xdr:rowOff>9525</xdr:rowOff>
    </xdr:to>
    <xdr:pic>
      <xdr:nvPicPr>
        <xdr:cNvPr id="2" name="Text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81550" y="4419600"/>
          <a:ext cx="723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W1532"/>
  <sheetViews>
    <sheetView showGridLines="0" showRowColHeaders="0" showZeros="0" tabSelected="1" showOutlineSymbols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2.125" style="2" customWidth="1"/>
    <col min="3" max="3" width="28.25390625" style="2" customWidth="1"/>
    <col min="4" max="4" width="15.125" style="2" customWidth="1"/>
    <col min="5" max="5" width="1.75390625" style="2" customWidth="1"/>
    <col min="6" max="6" width="2.125" style="2" customWidth="1"/>
    <col min="7" max="7" width="23.75390625" style="2" customWidth="1"/>
    <col min="8" max="8" width="16.75390625" style="2" customWidth="1"/>
    <col min="9" max="9" width="0.875" style="2" customWidth="1"/>
    <col min="10" max="10" width="12.375" style="2" customWidth="1"/>
    <col min="11" max="11" width="30.75390625" style="2" customWidth="1"/>
    <col min="12" max="12" width="6.75390625" style="124" customWidth="1"/>
    <col min="13" max="13" width="11.125" style="2" bestFit="1" customWidth="1"/>
    <col min="14" max="14" width="9.125" style="2" customWidth="1"/>
    <col min="15" max="15" width="19.75390625" style="2" customWidth="1"/>
    <col min="16" max="16" width="38.75390625" style="2" customWidth="1"/>
    <col min="17" max="17" width="49.75390625" style="2" bestFit="1" customWidth="1"/>
    <col min="18" max="18" width="41.25390625" style="138" bestFit="1" customWidth="1"/>
    <col min="19" max="19" width="20.75390625" style="138" bestFit="1" customWidth="1"/>
    <col min="20" max="20" width="18.25390625" style="2" customWidth="1"/>
    <col min="21" max="21" width="9.00390625" style="2" customWidth="1"/>
    <col min="22" max="22" width="14.00390625" style="2" customWidth="1"/>
    <col min="23" max="23" width="18.625" style="2" bestFit="1" customWidth="1"/>
    <col min="24" max="24" width="7.125" style="2" customWidth="1"/>
    <col min="25" max="25" width="18.625" style="2" bestFit="1" customWidth="1"/>
    <col min="26" max="26" width="4.625" style="2" customWidth="1"/>
    <col min="27" max="27" width="1.875" style="2" customWidth="1"/>
    <col min="28" max="28" width="8.125" style="2" bestFit="1" customWidth="1"/>
    <col min="29" max="29" width="8.875" style="2" customWidth="1"/>
    <col min="30" max="30" width="11.375" style="2" bestFit="1" customWidth="1"/>
    <col min="31" max="31" width="7.625" style="2" customWidth="1"/>
    <col min="32" max="32" width="10.125" style="2" customWidth="1"/>
    <col min="33" max="33" width="4.625" style="2" customWidth="1"/>
    <col min="34" max="34" width="8.375" style="2" customWidth="1"/>
    <col min="35" max="35" width="12.25390625" style="2" customWidth="1"/>
    <col min="36" max="36" width="7.75390625" style="2" customWidth="1"/>
    <col min="37" max="37" width="4.75390625" style="2" customWidth="1"/>
    <col min="38" max="38" width="9.00390625" style="2" customWidth="1"/>
    <col min="39" max="39" width="10.625" style="138" customWidth="1"/>
    <col min="40" max="40" width="7.00390625" style="138" customWidth="1"/>
    <col min="41" max="41" width="8.00390625" style="2" customWidth="1"/>
    <col min="42" max="42" width="4.00390625" style="2" customWidth="1"/>
    <col min="43" max="43" width="3.75390625" style="2" customWidth="1"/>
    <col min="44" max="44" width="3.375" style="2" customWidth="1"/>
    <col min="45" max="45" width="4.875" style="2" customWidth="1"/>
    <col min="46" max="46" width="5.00390625" style="2" customWidth="1"/>
    <col min="47" max="47" width="9.125" style="2" customWidth="1"/>
    <col min="48" max="48" width="2.375" style="2" customWidth="1"/>
    <col min="49" max="49" width="11.875" style="2" customWidth="1"/>
    <col min="50" max="50" width="7.625" style="2" bestFit="1" customWidth="1"/>
    <col min="51" max="51" width="18.00390625" style="2" bestFit="1" customWidth="1"/>
    <col min="52" max="52" width="11.25390625" style="2" customWidth="1"/>
    <col min="53" max="53" width="5.00390625" style="2" customWidth="1"/>
    <col min="54" max="54" width="6.75390625" style="2" bestFit="1" customWidth="1"/>
    <col min="55" max="55" width="15.75390625" style="2" customWidth="1"/>
    <col min="56" max="56" width="9.125" style="2" customWidth="1"/>
    <col min="57" max="57" width="4.75390625" style="2" customWidth="1"/>
    <col min="58" max="58" width="18.375" style="2" customWidth="1"/>
    <col min="59" max="59" width="59.00390625" style="2" bestFit="1" customWidth="1"/>
    <col min="60" max="60" width="11.25390625" style="2" customWidth="1"/>
    <col min="61" max="61" width="9.125" style="2" customWidth="1"/>
    <col min="62" max="62" width="15.625" style="2" customWidth="1"/>
    <col min="63" max="64" width="9.125" style="2" customWidth="1"/>
    <col min="65" max="65" width="11.25390625" style="2" bestFit="1" customWidth="1"/>
    <col min="66" max="66" width="11.375" style="2" bestFit="1" customWidth="1"/>
    <col min="67" max="67" width="16.625" style="2" bestFit="1" customWidth="1"/>
    <col min="68" max="69" width="11.375" style="2" bestFit="1" customWidth="1"/>
    <col min="70" max="71" width="11.25390625" style="2" bestFit="1" customWidth="1"/>
    <col min="72" max="72" width="15.25390625" style="2" bestFit="1" customWidth="1"/>
    <col min="73" max="73" width="43.00390625" style="2" bestFit="1" customWidth="1"/>
    <col min="74" max="74" width="8.125" style="2" bestFit="1" customWidth="1"/>
    <col min="75" max="75" width="32.375" style="2" customWidth="1"/>
    <col min="76" max="76" width="5.625" style="2" customWidth="1"/>
    <col min="77" max="77" width="4.375" style="2" customWidth="1"/>
    <col min="78" max="78" width="7.125" style="2" customWidth="1"/>
    <col min="79" max="79" width="5.375" style="2" customWidth="1"/>
    <col min="80" max="80" width="11.375" style="2" customWidth="1"/>
    <col min="81" max="81" width="17.125" style="2" customWidth="1"/>
    <col min="82" max="82" width="38.75390625" style="2" bestFit="1" customWidth="1"/>
    <col min="83" max="83" width="8.00390625" style="124" bestFit="1" customWidth="1"/>
    <col min="84" max="84" width="11.75390625" style="2" bestFit="1" customWidth="1"/>
    <col min="85" max="85" width="4.625" style="2" bestFit="1" customWidth="1"/>
    <col min="86" max="86" width="4.875" style="2" bestFit="1" customWidth="1"/>
    <col min="87" max="87" width="5.875" style="2" customWidth="1"/>
    <col min="88" max="88" width="9.125" style="2" customWidth="1"/>
    <col min="89" max="89" width="45.75390625" style="2" customWidth="1"/>
    <col min="90" max="90" width="44.375" style="2" bestFit="1" customWidth="1"/>
    <col min="91" max="94" width="9.125" style="2" customWidth="1"/>
    <col min="95" max="95" width="1.25" style="2" customWidth="1"/>
    <col min="96" max="96" width="9.125" style="2" customWidth="1"/>
    <col min="97" max="97" width="11.25390625" style="2" bestFit="1" customWidth="1"/>
    <col min="98" max="98" width="13.375" style="2" customWidth="1"/>
    <col min="99" max="99" width="9.125" style="2" customWidth="1"/>
    <col min="100" max="100" width="2.875" style="2" customWidth="1"/>
    <col min="101" max="101" width="1.625" style="2" customWidth="1"/>
    <col min="102" max="102" width="2.625" style="2" customWidth="1"/>
    <col min="103" max="103" width="9.125" style="138" customWidth="1"/>
    <col min="104" max="104" width="16.375" style="275" bestFit="1" customWidth="1"/>
    <col min="105" max="105" width="16.375" style="138" bestFit="1" customWidth="1"/>
    <col min="106" max="106" width="9.125" style="138" customWidth="1"/>
    <col min="107" max="107" width="4.625" style="138" customWidth="1"/>
    <col min="108" max="111" width="9.125" style="2" customWidth="1"/>
    <col min="112" max="112" width="11.25390625" style="2" bestFit="1" customWidth="1"/>
    <col min="113" max="113" width="27.125" style="2" bestFit="1" customWidth="1"/>
    <col min="114" max="119" width="9.125" style="2" customWidth="1"/>
    <col min="120" max="120" width="26.00390625" style="2" bestFit="1" customWidth="1"/>
    <col min="121" max="121" width="11.125" style="2" customWidth="1"/>
    <col min="122" max="123" width="9.125" style="2" customWidth="1"/>
    <col min="124" max="124" width="11.25390625" style="2" bestFit="1" customWidth="1"/>
    <col min="125" max="125" width="11.125" style="2" bestFit="1" customWidth="1"/>
    <col min="126" max="127" width="3.625" style="2" customWidth="1"/>
    <col min="128" max="128" width="48.625" style="2" bestFit="1" customWidth="1"/>
    <col min="129" max="129" width="1.75390625" style="2" customWidth="1"/>
    <col min="130" max="130" width="2.00390625" style="2" customWidth="1"/>
    <col min="131" max="131" width="12.375" style="2" customWidth="1"/>
    <col min="132" max="132" width="11.25390625" style="2" bestFit="1" customWidth="1"/>
    <col min="133" max="133" width="4.875" style="2" customWidth="1"/>
    <col min="134" max="134" width="9.125" style="2" customWidth="1"/>
    <col min="135" max="135" width="11.25390625" style="2" bestFit="1" customWidth="1"/>
    <col min="136" max="136" width="9.125" style="2" customWidth="1"/>
    <col min="137" max="137" width="11.25390625" style="2" bestFit="1" customWidth="1"/>
    <col min="138" max="138" width="9.125" style="2" customWidth="1"/>
    <col min="139" max="139" width="11.25390625" style="2" bestFit="1" customWidth="1"/>
    <col min="140" max="140" width="9.125" style="2" customWidth="1"/>
    <col min="141" max="142" width="3.00390625" style="2" customWidth="1"/>
    <col min="143" max="143" width="2.625" style="2" customWidth="1"/>
    <col min="144" max="144" width="9.125" style="2" customWidth="1"/>
    <col min="145" max="145" width="11.25390625" style="2" bestFit="1" customWidth="1"/>
    <col min="146" max="146" width="9.125" style="2" customWidth="1"/>
    <col min="147" max="147" width="30.375" style="2" bestFit="1" customWidth="1"/>
    <col min="148" max="148" width="3.25390625" style="2" customWidth="1"/>
    <col min="149" max="150" width="3.625" style="2" customWidth="1"/>
    <col min="151" max="151" width="21.75390625" style="2" bestFit="1" customWidth="1"/>
    <col min="152" max="152" width="8.75390625" style="2" bestFit="1" customWidth="1"/>
    <col min="153" max="153" width="3.00390625" style="2" customWidth="1"/>
    <col min="154" max="16384" width="9.125" style="2" customWidth="1"/>
  </cols>
  <sheetData>
    <row r="1" spans="1:151" ht="6" customHeight="1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19"/>
      <c r="M1" s="106"/>
      <c r="N1" s="106"/>
      <c r="AD1" s="2" t="s">
        <v>2153</v>
      </c>
      <c r="BN1" s="2" t="s">
        <v>2153</v>
      </c>
      <c r="CC1" s="2" t="s">
        <v>2153</v>
      </c>
      <c r="EU1" s="2" t="s">
        <v>2153</v>
      </c>
    </row>
    <row r="2" spans="1:153" ht="18" customHeight="1" thickBot="1">
      <c r="A2" s="106"/>
      <c r="B2" s="107"/>
      <c r="C2" s="107" t="s">
        <v>2386</v>
      </c>
      <c r="D2" s="107"/>
      <c r="E2" s="106"/>
      <c r="F2" s="106"/>
      <c r="G2" s="107" t="s">
        <v>3360</v>
      </c>
      <c r="H2" s="106"/>
      <c r="I2" s="106"/>
      <c r="J2" s="24" t="s">
        <v>5006</v>
      </c>
      <c r="K2" s="25" t="s">
        <v>5007</v>
      </c>
      <c r="L2" s="120" t="s">
        <v>2830</v>
      </c>
      <c r="M2" s="106"/>
      <c r="N2" s="106"/>
      <c r="CC2" s="32" t="s">
        <v>641</v>
      </c>
      <c r="CD2" s="32" t="s">
        <v>5003</v>
      </c>
      <c r="CE2" s="262" t="s">
        <v>5003</v>
      </c>
      <c r="CF2" s="32" t="s">
        <v>642</v>
      </c>
      <c r="CG2" s="32" t="s">
        <v>642</v>
      </c>
      <c r="CH2" s="32" t="s">
        <v>643</v>
      </c>
      <c r="CI2" s="32" t="s">
        <v>643</v>
      </c>
      <c r="CK2" s="2" t="str">
        <f>CONCATENATE(CK3," ",CK6)</f>
        <v> </v>
      </c>
      <c r="CL2" s="2" t="str">
        <f>CONCATENATE(CL3," ",CL6)</f>
        <v> </v>
      </c>
      <c r="CM2" s="2" t="str">
        <f>IF(J6="-","",CL2)</f>
        <v> </v>
      </c>
      <c r="CQ2" s="264"/>
      <c r="CR2" s="265" t="s">
        <v>2174</v>
      </c>
      <c r="CS2" s="266"/>
      <c r="CT2" s="266"/>
      <c r="CU2" s="266"/>
      <c r="CV2" s="267"/>
      <c r="CX2" s="264"/>
      <c r="CY2" s="304" t="s">
        <v>2177</v>
      </c>
      <c r="CZ2" s="305"/>
      <c r="DA2" s="306" t="s">
        <v>3361</v>
      </c>
      <c r="DB2" s="306"/>
      <c r="DC2" s="307"/>
      <c r="DD2" s="2">
        <f>IF(BM12,1,0)</f>
        <v>0</v>
      </c>
      <c r="DE2" s="2">
        <f>IF(BM21,1,0)</f>
        <v>0</v>
      </c>
      <c r="DF2" s="2">
        <f>IF(DQ2,1,0)</f>
        <v>0</v>
      </c>
      <c r="DG2" s="2">
        <f>SUM(DD2:DF2)</f>
        <v>0</v>
      </c>
      <c r="DH2" s="2" t="b">
        <f>AND(DG2&gt;1)</f>
        <v>0</v>
      </c>
      <c r="DL2" s="2" t="s">
        <v>2941</v>
      </c>
      <c r="DM2" s="2" t="s">
        <v>2942</v>
      </c>
      <c r="DP2" s="27" t="s">
        <v>3407</v>
      </c>
      <c r="DQ2" s="2" t="b">
        <v>0</v>
      </c>
      <c r="DS2" s="2" t="b">
        <f>OR(DQ2,BQ21)</f>
        <v>0</v>
      </c>
      <c r="DT2" s="2" t="b">
        <f>NOT(DH2)</f>
        <v>1</v>
      </c>
      <c r="DU2" s="27" t="b">
        <f>AND(DT2,DS2)</f>
        <v>0</v>
      </c>
      <c r="DX2" s="2" t="b">
        <f>AND(DH2,BM12)</f>
        <v>0</v>
      </c>
      <c r="DZ2" s="264"/>
      <c r="EA2" s="265" t="s">
        <v>3893</v>
      </c>
      <c r="EB2" s="266"/>
      <c r="EC2" s="266"/>
      <c r="ED2" s="266"/>
      <c r="EE2" s="266"/>
      <c r="EF2" s="266"/>
      <c r="EG2" s="266"/>
      <c r="EH2" s="266"/>
      <c r="EI2" s="266"/>
      <c r="EJ2" s="266"/>
      <c r="EK2" s="267"/>
      <c r="EM2" s="330"/>
      <c r="EN2" s="304" t="s">
        <v>681</v>
      </c>
      <c r="EO2" s="266"/>
      <c r="EP2" s="266"/>
      <c r="EQ2" s="266"/>
      <c r="ER2" s="267"/>
      <c r="ET2" s="264"/>
      <c r="EU2" s="304" t="s">
        <v>322</v>
      </c>
      <c r="EV2" s="266"/>
      <c r="EW2" s="267"/>
    </row>
    <row r="3" spans="1:153" ht="18" customHeight="1">
      <c r="A3" s="106"/>
      <c r="B3" s="106"/>
      <c r="C3" s="108" t="s">
        <v>2623</v>
      </c>
      <c r="D3" s="106"/>
      <c r="E3" s="106"/>
      <c r="F3" s="106"/>
      <c r="G3" s="108" t="s">
        <v>3446</v>
      </c>
      <c r="H3" s="106"/>
      <c r="I3" s="106"/>
      <c r="J3" s="22" t="s">
        <v>2831</v>
      </c>
      <c r="K3" s="23"/>
      <c r="L3" s="121"/>
      <c r="M3" s="106"/>
      <c r="N3" s="106"/>
      <c r="P3" s="20"/>
      <c r="R3" s="256"/>
      <c r="S3" s="256"/>
      <c r="T3" s="1"/>
      <c r="U3" s="1"/>
      <c r="V3" s="2">
        <f>CHOOSE(AV4,AT4,AT5,AT6,AT7,AT8,AT9,AT10,AT11,AT12)</f>
        <v>800</v>
      </c>
      <c r="W3" s="1"/>
      <c r="X3" s="1"/>
      <c r="Y3" s="1"/>
      <c r="Z3" s="1"/>
      <c r="AA3" s="320"/>
      <c r="AB3" s="321"/>
      <c r="AC3" s="265" t="s">
        <v>3077</v>
      </c>
      <c r="AD3" s="266"/>
      <c r="AE3" s="266"/>
      <c r="AF3" s="266"/>
      <c r="AG3" s="267"/>
      <c r="AM3" s="138" t="s">
        <v>3365</v>
      </c>
      <c r="AN3" s="138" t="s">
        <v>3366</v>
      </c>
      <c r="AT3" s="2" t="s">
        <v>2624</v>
      </c>
      <c r="AU3" s="27" t="s">
        <v>3484</v>
      </c>
      <c r="AV3" s="27" t="s">
        <v>2624</v>
      </c>
      <c r="AW3" s="2" t="s">
        <v>2625</v>
      </c>
      <c r="AX3" s="3" t="s">
        <v>2626</v>
      </c>
      <c r="AY3" s="3" t="s">
        <v>3436</v>
      </c>
      <c r="AZ3" s="3" t="s">
        <v>3437</v>
      </c>
      <c r="BA3" s="3" t="s">
        <v>3438</v>
      </c>
      <c r="BB3" s="29" t="s">
        <v>3438</v>
      </c>
      <c r="BC3" s="3">
        <v>1</v>
      </c>
      <c r="BG3"/>
      <c r="BH3"/>
      <c r="BI3" s="11"/>
      <c r="BJ3" s="11"/>
      <c r="BK3" s="11"/>
      <c r="BL3" s="11" t="s">
        <v>442</v>
      </c>
      <c r="BM3" s="11" t="b">
        <v>0</v>
      </c>
      <c r="BN3" s="11">
        <v>7</v>
      </c>
      <c r="BO3" s="12">
        <f>IF(BM3=TRUE,BN3,11)</f>
        <v>11</v>
      </c>
      <c r="BP3" s="11"/>
      <c r="BQ3" s="11"/>
      <c r="BR3" s="11"/>
      <c r="BS3" s="11"/>
      <c r="BZ3" s="11"/>
      <c r="CA3" s="11"/>
      <c r="CC3" s="27" t="s">
        <v>4602</v>
      </c>
      <c r="CD3" s="27" t="s">
        <v>4601</v>
      </c>
      <c r="CE3" s="263" t="s">
        <v>4602</v>
      </c>
      <c r="CF3" s="27" t="s">
        <v>4601</v>
      </c>
      <c r="CG3" s="27" t="s">
        <v>4602</v>
      </c>
      <c r="CH3" s="27" t="s">
        <v>4601</v>
      </c>
      <c r="CI3" s="27" t="s">
        <v>4602</v>
      </c>
      <c r="CK3" s="2">
        <f>MID(CK5,1,11)</f>
      </c>
      <c r="CL3" s="2">
        <f>MID(CL5,1,11)</f>
      </c>
      <c r="CQ3" s="268"/>
      <c r="CR3" s="18" t="s">
        <v>2175</v>
      </c>
      <c r="CS3" s="18" t="str">
        <f>V8</f>
        <v>PR111</v>
      </c>
      <c r="CT3" s="18"/>
      <c r="CU3" s="18"/>
      <c r="CV3" s="269"/>
      <c r="CX3" s="268"/>
      <c r="CY3" s="270" t="s">
        <v>3365</v>
      </c>
      <c r="CZ3" s="308" t="b">
        <f>AND(AY7=1)</f>
        <v>0</v>
      </c>
      <c r="DA3" s="270" t="s">
        <v>3362</v>
      </c>
      <c r="DB3" s="270"/>
      <c r="DC3" s="309"/>
      <c r="DH3" s="2" t="str">
        <f>IF(DH2,DI4,DI3)</f>
        <v>15 ext. pom. kontaktů</v>
      </c>
      <c r="DI3" s="231" t="s">
        <v>3396</v>
      </c>
      <c r="DL3" s="2" t="str">
        <f>W4</f>
        <v>E1</v>
      </c>
      <c r="DM3" s="2">
        <f>V5</f>
        <v>3</v>
      </c>
      <c r="DP3" s="2" t="s">
        <v>3408</v>
      </c>
      <c r="DQ3" s="2" t="b">
        <v>0</v>
      </c>
      <c r="DS3" s="2" t="b">
        <f>OR(DQ2,BR21)</f>
        <v>0</v>
      </c>
      <c r="DT3" s="2" t="b">
        <f>AND(V6="Pevné")</f>
        <v>0</v>
      </c>
      <c r="DU3" s="27" t="b">
        <f>AND(DT2,DS3,DT3)</f>
        <v>0</v>
      </c>
      <c r="DX3" s="2" t="b">
        <f>AND(DH2,BM21)</f>
        <v>0</v>
      </c>
      <c r="DZ3" s="268"/>
      <c r="EA3" s="18" t="s">
        <v>3906</v>
      </c>
      <c r="EB3" s="18" t="b">
        <v>0</v>
      </c>
      <c r="EC3" s="18"/>
      <c r="ED3" s="18"/>
      <c r="EE3" s="18"/>
      <c r="EF3" s="18"/>
      <c r="EG3" s="18"/>
      <c r="EH3" s="18"/>
      <c r="EI3" s="18"/>
      <c r="EJ3" s="18"/>
      <c r="EK3" s="269"/>
      <c r="EM3" s="268"/>
      <c r="EN3" s="18" t="s">
        <v>684</v>
      </c>
      <c r="EO3" s="18" t="b">
        <v>0</v>
      </c>
      <c r="EP3" s="18"/>
      <c r="EQ3" s="18"/>
      <c r="ER3" s="269"/>
      <c r="ET3" s="268"/>
      <c r="EU3" s="18" t="s">
        <v>684</v>
      </c>
      <c r="EV3" s="18" t="b">
        <v>0</v>
      </c>
      <c r="EW3" s="269"/>
    </row>
    <row r="4" spans="1:153" ht="18" customHeight="1">
      <c r="A4" s="106"/>
      <c r="B4" s="106"/>
      <c r="C4" s="108" t="str">
        <f>IF(V4=0,S16,S12)</f>
        <v>Zkratová odolnost Icu</v>
      </c>
      <c r="D4" s="106"/>
      <c r="E4" s="106"/>
      <c r="F4" s="106"/>
      <c r="G4" s="108" t="str">
        <f>IF(V7="","Zadej svorky!","Svorky  (horní-dolní)    ")</f>
        <v>Svorky  (horní-dolní)    </v>
      </c>
      <c r="H4" s="106"/>
      <c r="I4" s="106"/>
      <c r="J4" s="26">
        <f>IF($F$24="a",O1531,"")</f>
      </c>
      <c r="K4" s="26">
        <f>IF($F$24="a",P1531,"")</f>
      </c>
      <c r="L4" s="122">
        <f>IF($F$24="a",C44,"")</f>
      </c>
      <c r="M4" s="106"/>
      <c r="N4" s="106"/>
      <c r="P4" s="21"/>
      <c r="R4" s="256"/>
      <c r="S4" s="256"/>
      <c r="T4" s="1"/>
      <c r="U4" s="1"/>
      <c r="V4" s="2">
        <f>CHOOSE(AW4,AW67,AW68,AW69,AW70,AW71,AW72)</f>
        <v>42</v>
      </c>
      <c r="W4" s="2" t="str">
        <f>CHOOSE(AW4,AX67,AX68,AX69,AX70,AX71,AX72)</f>
        <v>E1</v>
      </c>
      <c r="X4" s="1"/>
      <c r="Y4" s="1"/>
      <c r="Z4" s="1"/>
      <c r="AA4" s="322"/>
      <c r="AB4" s="334">
        <v>4</v>
      </c>
      <c r="AC4" s="18" t="s">
        <v>2831</v>
      </c>
      <c r="AD4" s="18" t="b">
        <f>AND(Q10=1)</f>
        <v>1</v>
      </c>
      <c r="AE4" s="18"/>
      <c r="AF4" s="18"/>
      <c r="AG4" s="269"/>
      <c r="AM4" s="138" t="s">
        <v>3361</v>
      </c>
      <c r="AN4" s="138" t="s">
        <v>3361</v>
      </c>
      <c r="AS4" s="2">
        <v>1</v>
      </c>
      <c r="AT4" s="2">
        <v>800</v>
      </c>
      <c r="AU4" s="2">
        <f>Q10</f>
        <v>1</v>
      </c>
      <c r="AV4" s="27">
        <v>1</v>
      </c>
      <c r="AW4" s="2">
        <v>1</v>
      </c>
      <c r="AX4" s="3">
        <v>3</v>
      </c>
      <c r="AY4" s="3" t="s">
        <v>3439</v>
      </c>
      <c r="AZ4" s="3" t="str">
        <f>IF($AY$7=1,AM4,AN4)</f>
        <v>Zadní vodorovné (HR)</v>
      </c>
      <c r="BA4" s="3" t="str">
        <f>IF(Q10=1,"PR111","")</f>
        <v>PR111</v>
      </c>
      <c r="BB4" s="29">
        <f>IF(Q10=1,BC3,"x")</f>
        <v>1</v>
      </c>
      <c r="BC4" s="3">
        <v>1</v>
      </c>
      <c r="BG4"/>
      <c r="BH4"/>
      <c r="BI4" s="11"/>
      <c r="BJ4" s="11"/>
      <c r="BK4" s="11"/>
      <c r="BL4" s="11" t="s">
        <v>443</v>
      </c>
      <c r="BM4" s="11" t="b">
        <v>0</v>
      </c>
      <c r="BN4" s="11">
        <v>7</v>
      </c>
      <c r="BO4" s="12">
        <f>IF(BM4=TRUE,BN4,11)</f>
        <v>11</v>
      </c>
      <c r="BP4" s="11"/>
      <c r="BQ4" s="11"/>
      <c r="BR4" s="11"/>
      <c r="BS4" s="11"/>
      <c r="BZ4" s="11"/>
      <c r="CA4" s="11"/>
      <c r="CC4" s="27">
        <v>2</v>
      </c>
      <c r="CD4" s="27" t="s">
        <v>2113</v>
      </c>
      <c r="CE4" s="263">
        <v>2</v>
      </c>
      <c r="CF4" s="27" t="s">
        <v>2115</v>
      </c>
      <c r="CG4" s="27">
        <v>2</v>
      </c>
      <c r="CH4" s="27" t="s">
        <v>2114</v>
      </c>
      <c r="CI4" s="27">
        <v>2</v>
      </c>
      <c r="CQ4" s="268"/>
      <c r="CR4" s="18" t="s">
        <v>2176</v>
      </c>
      <c r="CS4" s="18" t="str">
        <f>V9</f>
        <v>LI.</v>
      </c>
      <c r="CT4" s="23" t="str">
        <f>IF($Q$10=1,"PR112D-M","")</f>
        <v>PR112D-M</v>
      </c>
      <c r="CU4" s="18"/>
      <c r="CV4" s="269"/>
      <c r="CX4" s="268"/>
      <c r="CY4" s="270" t="s">
        <v>4523</v>
      </c>
      <c r="CZ4" s="308" t="str">
        <f>V7</f>
        <v>Zadní vodorovné (HR)</v>
      </c>
      <c r="DA4" s="270" t="s">
        <v>3363</v>
      </c>
      <c r="DB4" s="270"/>
      <c r="DC4" s="309"/>
      <c r="DI4" s="2" t="s">
        <v>3410</v>
      </c>
      <c r="DQ4" s="27" t="b">
        <f>AND(DQ2,DT2)</f>
        <v>0</v>
      </c>
      <c r="DX4" s="2" t="b">
        <f>AND(DH2,DQ2)</f>
        <v>0</v>
      </c>
      <c r="DZ4" s="268"/>
      <c r="EA4" s="18" t="s">
        <v>5003</v>
      </c>
      <c r="EB4" s="18" t="b">
        <f>AND(Q10=1)</f>
        <v>1</v>
      </c>
      <c r="EC4" s="18"/>
      <c r="ED4" s="18"/>
      <c r="EE4" s="18"/>
      <c r="EF4" s="18"/>
      <c r="EG4" s="18"/>
      <c r="EH4" s="18"/>
      <c r="EI4" s="18"/>
      <c r="EJ4" s="18"/>
      <c r="EK4" s="269"/>
      <c r="EM4" s="268"/>
      <c r="EN4" s="18" t="s">
        <v>2831</v>
      </c>
      <c r="EO4" s="18" t="b">
        <f>AND(Q10=1)</f>
        <v>1</v>
      </c>
      <c r="EP4" s="18"/>
      <c r="EQ4" s="18"/>
      <c r="ER4" s="269"/>
      <c r="ET4" s="268"/>
      <c r="EU4" s="18" t="s">
        <v>2831</v>
      </c>
      <c r="EV4" s="18" t="b">
        <f>AND(Q10=1)</f>
        <v>1</v>
      </c>
      <c r="EW4" s="269"/>
    </row>
    <row r="5" spans="1:153" ht="18" customHeight="1">
      <c r="A5" s="106"/>
      <c r="B5" s="106"/>
      <c r="C5" s="108" t="str">
        <f>IF(Q10=1,"Zkratová odolnost Ics;Icw","Jm. zapínací schopnost Icm")</f>
        <v>Zkratová odolnost Ics;Icw</v>
      </c>
      <c r="D5" s="109" t="str">
        <f>CHOOSE(AW4,AY67,AY68,AY69,AY70,AY71,AY72)</f>
        <v>Ics=42kA; Icw=36kA</v>
      </c>
      <c r="E5" s="106"/>
      <c r="F5" s="106"/>
      <c r="G5" s="108" t="str">
        <f>IF(Q10=1,"Spoušť","")</f>
        <v>Spoušť</v>
      </c>
      <c r="H5" s="106"/>
      <c r="I5" s="106"/>
      <c r="J5" s="22" t="s">
        <v>2832</v>
      </c>
      <c r="K5" s="23"/>
      <c r="L5" s="121"/>
      <c r="M5" s="106"/>
      <c r="N5" s="106"/>
      <c r="P5" s="20"/>
      <c r="R5" s="256"/>
      <c r="S5" s="256"/>
      <c r="T5" s="1"/>
      <c r="U5" s="1"/>
      <c r="V5" s="2">
        <f>CHOOSE(AX7,AX4,AX5)</f>
        <v>3</v>
      </c>
      <c r="W5" s="1"/>
      <c r="X5" s="1"/>
      <c r="Y5" s="1"/>
      <c r="Z5" s="1"/>
      <c r="AA5" s="322"/>
      <c r="AB5" s="334">
        <v>5</v>
      </c>
      <c r="AC5" s="18" t="s">
        <v>3076</v>
      </c>
      <c r="AD5" s="18" t="b">
        <f>AND(Q10=2)</f>
        <v>0</v>
      </c>
      <c r="AE5" s="18"/>
      <c r="AF5" s="18"/>
      <c r="AG5" s="269"/>
      <c r="AI5" s="2">
        <v>2</v>
      </c>
      <c r="AJ5" s="2">
        <v>1</v>
      </c>
      <c r="AK5" s="2">
        <v>36</v>
      </c>
      <c r="AL5" s="2" t="s">
        <v>4994</v>
      </c>
      <c r="AM5" s="138" t="s">
        <v>3362</v>
      </c>
      <c r="AN5" s="138" t="s">
        <v>3362</v>
      </c>
      <c r="AS5" s="2">
        <v>2</v>
      </c>
      <c r="AT5" s="2">
        <v>1250</v>
      </c>
      <c r="AX5" s="3">
        <v>4</v>
      </c>
      <c r="AY5" s="3" t="s">
        <v>3443</v>
      </c>
      <c r="AZ5" s="3" t="str">
        <f aca="true" t="shared" si="0" ref="AZ5:AZ19">IF($AY$7=1,AM5,AN5)</f>
        <v>Zadní svislé (VR)</v>
      </c>
      <c r="BA5" s="3" t="str">
        <f>IF($Q$10=1,"PR112","")</f>
        <v>PR112</v>
      </c>
      <c r="BB5" s="3"/>
      <c r="BC5" s="3"/>
      <c r="BG5" t="b">
        <f>AND(BM5,BN5&gt;7,BM6)</f>
        <v>0</v>
      </c>
      <c r="BH5"/>
      <c r="BI5" s="11" t="s">
        <v>3390</v>
      </c>
      <c r="BJ5" s="11"/>
      <c r="BK5" s="11"/>
      <c r="BL5" s="11" t="s">
        <v>3389</v>
      </c>
      <c r="BM5" s="11" t="b">
        <v>0</v>
      </c>
      <c r="BN5" s="11">
        <v>7</v>
      </c>
      <c r="BO5" s="12">
        <f>IF(BM5=TRUE,BN5,11)</f>
        <v>11</v>
      </c>
      <c r="BP5" s="11"/>
      <c r="BQ5" s="11"/>
      <c r="BR5" s="11"/>
      <c r="BS5" s="11"/>
      <c r="BW5" s="2" t="b">
        <f>AND(BM5,BM23=FALSE)</f>
        <v>0</v>
      </c>
      <c r="BX5" s="2" t="str">
        <f>IF($BW$5,$BX$9,$BX$10)</f>
        <v>-</v>
      </c>
      <c r="BZ5" s="11"/>
      <c r="CA5" s="11"/>
      <c r="CD5" s="28" t="s">
        <v>321</v>
      </c>
      <c r="CE5" s="263">
        <f>SUM(CE7:CE37)</f>
        <v>0</v>
      </c>
      <c r="CK5" s="2">
        <f>J4</f>
      </c>
      <c r="CL5" s="2">
        <f>J6</f>
      </c>
      <c r="CQ5" s="268"/>
      <c r="CR5" s="18" t="s">
        <v>436</v>
      </c>
      <c r="CS5" s="18" t="b">
        <f>AND(Q10=1)</f>
        <v>1</v>
      </c>
      <c r="CT5" s="23" t="str">
        <f>IF($Q$10=1,"PR112D-L","")</f>
        <v>PR112D-L</v>
      </c>
      <c r="CU5" s="18"/>
      <c r="CV5" s="269"/>
      <c r="CX5" s="268"/>
      <c r="CY5" s="270" t="s">
        <v>2181</v>
      </c>
      <c r="CZ5" s="308" t="str">
        <f>W4</f>
        <v>E1</v>
      </c>
      <c r="DA5" s="270" t="s">
        <v>3367</v>
      </c>
      <c r="DB5" s="270"/>
      <c r="DC5" s="309"/>
      <c r="DH5" s="2" t="str">
        <f>IF(DH2,DI6,DI5)</f>
        <v>Blokování dveří rozvaděče</v>
      </c>
      <c r="DI5" s="2" t="s">
        <v>439</v>
      </c>
      <c r="DL5" s="2" t="s">
        <v>2941</v>
      </c>
      <c r="DM5" s="2" t="s">
        <v>2942</v>
      </c>
      <c r="DN5" s="2" t="s">
        <v>2943</v>
      </c>
      <c r="DQ5" s="27" t="b">
        <f>AND(DQ2,DQ3,DT2)</f>
        <v>0</v>
      </c>
      <c r="DZ5" s="268"/>
      <c r="EA5" s="18" t="s">
        <v>3449</v>
      </c>
      <c r="EB5" s="18" t="str">
        <f>W4</f>
        <v>E1</v>
      </c>
      <c r="EC5" s="18"/>
      <c r="ED5" s="18"/>
      <c r="EE5" s="18"/>
      <c r="EF5" s="18"/>
      <c r="EG5" s="18"/>
      <c r="EH5" s="18"/>
      <c r="EI5" s="18"/>
      <c r="EJ5" s="18"/>
      <c r="EK5" s="269"/>
      <c r="EM5" s="268"/>
      <c r="EN5" s="18" t="s">
        <v>682</v>
      </c>
      <c r="EO5" s="18" t="str">
        <f>V8</f>
        <v>PR111</v>
      </c>
      <c r="EP5" s="18"/>
      <c r="EQ5" s="18"/>
      <c r="ER5" s="269"/>
      <c r="ET5" s="268"/>
      <c r="EU5" s="18"/>
      <c r="EV5" s="18"/>
      <c r="EW5" s="269"/>
    </row>
    <row r="6" spans="1:153" ht="18" customHeight="1">
      <c r="A6" s="106"/>
      <c r="B6" s="106"/>
      <c r="C6" s="108" t="s">
        <v>3442</v>
      </c>
      <c r="D6" s="106"/>
      <c r="E6" s="106"/>
      <c r="F6" s="106"/>
      <c r="G6" s="108" t="str">
        <f>S23</f>
        <v>Ochrany</v>
      </c>
      <c r="H6" s="106"/>
      <c r="I6" s="106"/>
      <c r="J6" s="26">
        <f>IF($F$24="a",AE1531,"")</f>
      </c>
      <c r="K6" s="26">
        <f>IF($F$24="a",AF1531,"")</f>
      </c>
      <c r="L6" s="122">
        <f>IF($F$24="a",C45,"")</f>
      </c>
      <c r="M6" s="106"/>
      <c r="N6" s="106"/>
      <c r="P6" s="20"/>
      <c r="R6" s="256"/>
      <c r="S6" s="256"/>
      <c r="T6" s="1"/>
      <c r="U6" s="1"/>
      <c r="V6" s="2" t="str">
        <f>CHOOSE(AY7,AY4,AY5)</f>
        <v>Výsuvné</v>
      </c>
      <c r="W6" s="1"/>
      <c r="X6" s="1"/>
      <c r="Y6" s="277" t="s">
        <v>3439</v>
      </c>
      <c r="Z6" s="1"/>
      <c r="AA6" s="322"/>
      <c r="AB6" s="334">
        <v>6</v>
      </c>
      <c r="AC6" s="323" t="s">
        <v>3078</v>
      </c>
      <c r="AD6" s="18" t="b">
        <f>OR(AND(AD4,BM11=FALSE),AND(BM11,AD5,V14=1))</f>
        <v>1</v>
      </c>
      <c r="AE6" s="18"/>
      <c r="AF6" s="18"/>
      <c r="AG6" s="269"/>
      <c r="AI6" s="2">
        <v>2</v>
      </c>
      <c r="AJ6" s="2">
        <v>2</v>
      </c>
      <c r="AK6" s="2">
        <v>36</v>
      </c>
      <c r="AL6" s="2" t="s">
        <v>4994</v>
      </c>
      <c r="AM6" s="138" t="s">
        <v>3363</v>
      </c>
      <c r="AN6" s="138" t="s">
        <v>3363</v>
      </c>
      <c r="AS6" s="2">
        <v>3</v>
      </c>
      <c r="AT6" s="2">
        <v>1600</v>
      </c>
      <c r="AX6" s="3"/>
      <c r="AY6" s="3"/>
      <c r="AZ6" s="3" t="str">
        <f t="shared" si="0"/>
        <v>Přední (F)</v>
      </c>
      <c r="BA6" s="3" t="str">
        <f>IF($Q$10=1,"PR113","")</f>
        <v>PR113</v>
      </c>
      <c r="BB6" s="3"/>
      <c r="BC6" s="3"/>
      <c r="BG6" t="str">
        <f>IF(BG5,BI7,BI5)</f>
        <v>Zpoždění podpěťové cívky</v>
      </c>
      <c r="BH6"/>
      <c r="BI6" s="11" t="s">
        <v>3892</v>
      </c>
      <c r="BJ6" s="11"/>
      <c r="BK6" s="11"/>
      <c r="BL6" s="11" t="s">
        <v>3387</v>
      </c>
      <c r="BM6" s="11" t="b">
        <v>0</v>
      </c>
      <c r="BN6" s="11" t="b">
        <f>AND(BM5,BM6)</f>
        <v>0</v>
      </c>
      <c r="BO6" s="12">
        <f>IF(BS6=TRUE,BO5,11)</f>
        <v>11</v>
      </c>
      <c r="BP6" s="11" t="b">
        <f>AND(BM5=FALSE,BM6)</f>
        <v>0</v>
      </c>
      <c r="BQ6" s="11" t="b">
        <f>OR(BP6,BN23)</f>
        <v>0</v>
      </c>
      <c r="BR6" s="11" t="b">
        <f>AND(BQ6,BM6)</f>
        <v>0</v>
      </c>
      <c r="BS6" s="11" t="b">
        <f>AND(BM5,BM23=FALSE,BM6)</f>
        <v>0</v>
      </c>
      <c r="BW6" s="2" t="b">
        <f>AND(BM5,BM23)</f>
        <v>0</v>
      </c>
      <c r="BZ6" s="11"/>
      <c r="CA6" s="11"/>
      <c r="CB6" s="2" t="s">
        <v>2171</v>
      </c>
      <c r="CC6" s="27" t="s">
        <v>4600</v>
      </c>
      <c r="CD6" s="27" t="s">
        <v>5020</v>
      </c>
      <c r="CE6" s="263" t="s">
        <v>5019</v>
      </c>
      <c r="CF6" s="33" t="s">
        <v>3539</v>
      </c>
      <c r="CG6" s="27" t="s">
        <v>4601</v>
      </c>
      <c r="CH6" s="27" t="s">
        <v>4602</v>
      </c>
      <c r="CK6" s="2">
        <f>CONCATENATE(CN39,CN40,CN41,CN42,CN43,,CN44,CN45,CN46,CN47,CN48,CN49,CN50,CN51,CN52,CN53,CN54,CN55,CN56)</f>
      </c>
      <c r="CL6" s="2">
        <f>CONCATENATE(CV39,CV40,CV41,CV42)</f>
      </c>
      <c r="CQ6" s="268"/>
      <c r="CR6" s="18"/>
      <c r="CS6" s="18"/>
      <c r="CT6" s="23" t="str">
        <f>IF($Q$10=1,"PR113D-M","")</f>
        <v>PR113D-M</v>
      </c>
      <c r="CU6" s="18"/>
      <c r="CV6" s="269"/>
      <c r="CX6" s="268"/>
      <c r="CY6" s="270" t="str">
        <f>MID(CZ5,2,1)</f>
        <v>1</v>
      </c>
      <c r="CZ6" s="308"/>
      <c r="DA6" s="270" t="s">
        <v>2015</v>
      </c>
      <c r="DB6" s="270"/>
      <c r="DC6" s="309"/>
      <c r="DI6" s="2" t="s">
        <v>3409</v>
      </c>
      <c r="DL6" s="2" t="s">
        <v>4994</v>
      </c>
      <c r="DM6" s="2">
        <v>3</v>
      </c>
      <c r="DN6" s="2">
        <v>1</v>
      </c>
      <c r="DQ6" s="2">
        <f>IF($DQ$4,DS6,"")</f>
      </c>
      <c r="DS6" s="19" t="s">
        <v>2813</v>
      </c>
      <c r="DX6" s="2" t="s">
        <v>3405</v>
      </c>
      <c r="DZ6" s="268"/>
      <c r="EA6" s="18" t="s">
        <v>2625</v>
      </c>
      <c r="EB6" s="18">
        <f>V4</f>
        <v>42</v>
      </c>
      <c r="EC6" s="18"/>
      <c r="ED6" s="18"/>
      <c r="EE6" s="18"/>
      <c r="EF6" s="18"/>
      <c r="EG6" s="18"/>
      <c r="EH6" s="18"/>
      <c r="EI6" s="18"/>
      <c r="EJ6" s="18"/>
      <c r="EK6" s="269"/>
      <c r="EM6" s="268"/>
      <c r="EN6" s="18" t="s">
        <v>683</v>
      </c>
      <c r="EO6" s="18" t="str">
        <f>MID(EO5,1,5)</f>
        <v>PR111</v>
      </c>
      <c r="EP6" s="18"/>
      <c r="EQ6" s="18" t="s">
        <v>3445</v>
      </c>
      <c r="ER6" s="269"/>
      <c r="ET6" s="268"/>
      <c r="EU6" s="18"/>
      <c r="EV6" s="33" t="b">
        <f>AND(EV4,EV3)</f>
        <v>0</v>
      </c>
      <c r="EW6" s="269"/>
    </row>
    <row r="7" spans="1:153" ht="18" customHeight="1">
      <c r="A7" s="106"/>
      <c r="B7" s="106"/>
      <c r="C7" s="106"/>
      <c r="D7" s="106"/>
      <c r="E7" s="106"/>
      <c r="F7" s="106"/>
      <c r="G7" s="329">
        <f>EO16</f>
      </c>
      <c r="H7" s="106"/>
      <c r="I7" s="106"/>
      <c r="J7" s="22" t="s">
        <v>2833</v>
      </c>
      <c r="K7" s="23"/>
      <c r="L7" s="121"/>
      <c r="M7" s="106"/>
      <c r="N7" s="106"/>
      <c r="P7" s="21"/>
      <c r="R7" s="256"/>
      <c r="S7" s="256"/>
      <c r="T7" s="1"/>
      <c r="U7" s="1"/>
      <c r="V7" s="2" t="str">
        <f>CHOOSE(BA15,AZ4,AZ5,AZ6,AZ7,AZ8,AZ9,AZ10,AZ11,AZ12,AZ13,AZ14,AZ15,AZ16,AZ17,AZ18,AZ19)</f>
        <v>Zadní vodorovné (HR)</v>
      </c>
      <c r="W7" s="1" t="str">
        <f>IF(V6="výsuvné","poh. část",X7)</f>
        <v>poh. část</v>
      </c>
      <c r="X7" s="1" t="str">
        <f>IF(V6=Y6,Y7,V7)</f>
        <v>Zadní vodorovné (HR)</v>
      </c>
      <c r="Y7" s="277" t="s">
        <v>3361</v>
      </c>
      <c r="Z7" s="1"/>
      <c r="AA7" s="322"/>
      <c r="AB7" s="334">
        <v>7</v>
      </c>
      <c r="AC7" s="323" t="s">
        <v>3079</v>
      </c>
      <c r="AD7" s="18" t="b">
        <f>OR(AND(AD4,BM11),AND(AD5,BM11,V14=2))</f>
        <v>0</v>
      </c>
      <c r="AE7" s="18"/>
      <c r="AF7" s="18"/>
      <c r="AG7" s="269"/>
      <c r="AI7" s="2">
        <v>2</v>
      </c>
      <c r="AJ7" s="2">
        <v>2</v>
      </c>
      <c r="AK7" s="2">
        <v>55</v>
      </c>
      <c r="AL7" s="2" t="s">
        <v>4997</v>
      </c>
      <c r="AM7" s="138" t="s">
        <v>3367</v>
      </c>
      <c r="AN7" s="138" t="s">
        <v>3364</v>
      </c>
      <c r="AS7" s="2">
        <v>4</v>
      </c>
      <c r="AT7" s="2">
        <v>2000</v>
      </c>
      <c r="AX7" s="3">
        <v>1</v>
      </c>
      <c r="AY7" s="3">
        <v>2</v>
      </c>
      <c r="AZ7" s="3" t="str">
        <f t="shared" si="0"/>
        <v>Zadní naplocho (FL)</v>
      </c>
      <c r="BA7" s="3" t="str">
        <f>IF($Q$10=1,"PR112D-M","")</f>
        <v>PR112D-M</v>
      </c>
      <c r="BB7" s="3"/>
      <c r="BC7" s="3"/>
      <c r="BG7" t="str">
        <f>IF(BR6,BI6,BG6)</f>
        <v>Zpoždění podpěťové cívky</v>
      </c>
      <c r="BH7"/>
      <c r="BI7" s="11" t="s">
        <v>3391</v>
      </c>
      <c r="BJ7" s="11"/>
      <c r="BK7" s="11"/>
      <c r="BL7" s="11" t="s">
        <v>3388</v>
      </c>
      <c r="BM7" s="11" t="b">
        <v>0</v>
      </c>
      <c r="BN7" s="11">
        <v>1</v>
      </c>
      <c r="BO7" s="12" t="b">
        <f>AND(BM7,BM5)</f>
        <v>0</v>
      </c>
      <c r="BP7" s="11">
        <f>IF(BT7=TRUE,BN7,3)</f>
        <v>3</v>
      </c>
      <c r="BQ7" s="11" t="b">
        <f>AND(BM7,BM5=FALSE)</f>
        <v>0</v>
      </c>
      <c r="BR7" s="11" t="b">
        <f>OR(BQ7,BN23)</f>
        <v>0</v>
      </c>
      <c r="BS7" s="11" t="b">
        <f>AND(BR7,BM7)</f>
        <v>0</v>
      </c>
      <c r="BT7" s="2" t="b">
        <f>AND(BM5,BM7,BM23=FALSE)</f>
        <v>0</v>
      </c>
      <c r="BW7" s="2" t="str">
        <f>CONCATENATE("H",BX7)</f>
        <v>H-</v>
      </c>
      <c r="BX7" s="27" t="str">
        <f>CHOOSE($CA$7,BK162,BK163,BK164,BK165,BK166,BK167,BK168,BK169,BK170,BK171,BK172,BK173,BK174,BK175,BK176,BK177,BK178,BK179,BK180,BK181,"","-")</f>
        <v>-</v>
      </c>
      <c r="BY7" s="2" t="str">
        <f>CONCATENATE("Horní svorky: ",BZ7)</f>
        <v>Horní svorky: -</v>
      </c>
      <c r="BZ7" s="27" t="str">
        <f>CHOOSE($CA$7,BG162,BG163,BG164,BG165,BG166,BG167,BG168,BG169,BG170,BG171,BG172,BG173,BG174,BG175,BG176,BG177,BG178,BG179,BG180,BG181,"Standard - zadní vodorovné.","-")</f>
        <v>-</v>
      </c>
      <c r="CA7" s="11">
        <f>DB20</f>
        <v>22</v>
      </c>
      <c r="CB7" s="2" t="s">
        <v>2172</v>
      </c>
      <c r="CC7" s="27" t="str">
        <f>CHOOSE($CA$7,BF162,BF163,BF164,BF165,BF166,BF167,BF168,BF169,BF170,BF171,BF172,BF173,BF174,BF175,BF176,BF177,BF178,BF179,BF180,BF181,"---","-")</f>
        <v>-</v>
      </c>
      <c r="CD7" s="27" t="str">
        <f>IF(CA7=22,BZ7,BY7)</f>
        <v>-</v>
      </c>
      <c r="CE7" s="27" t="str">
        <f>CHOOSE($CA$7,BH162,BH163,BH164,BH165,BH166,BH167,BH168,BH169,BH170,BH171,BH172,BH173,BH174,BH175,BH176,BH177,BH178,BH179,BH180,BH181,0,"-")</f>
        <v>-</v>
      </c>
      <c r="CF7" s="27" t="str">
        <f>IF(OR(CA7=22,CA7=21),BX7,BW7)</f>
        <v>-</v>
      </c>
      <c r="CG7" s="27" t="s">
        <v>2113</v>
      </c>
      <c r="CH7" s="15">
        <f aca="true" t="shared" si="1" ref="CH7:CH37">IF(CC7="-",1,2)</f>
        <v>1</v>
      </c>
      <c r="CK7" s="2">
        <f aca="true" t="shared" si="2" ref="CK7:CK36">IF(CH7=2,CF7,"")</f>
      </c>
      <c r="CQ7" s="268"/>
      <c r="CR7" s="18"/>
      <c r="CS7" s="18"/>
      <c r="CT7" s="270" t="s">
        <v>4996</v>
      </c>
      <c r="CU7" s="18"/>
      <c r="CV7" s="269"/>
      <c r="CX7" s="268"/>
      <c r="CY7" s="270" t="str">
        <f>IF(CY6=6,5,CY6)</f>
        <v>1</v>
      </c>
      <c r="CZ7" s="308"/>
      <c r="DA7" s="270" t="s">
        <v>3368</v>
      </c>
      <c r="DB7" s="270"/>
      <c r="DC7" s="309"/>
      <c r="DL7" s="2" t="s">
        <v>4994</v>
      </c>
      <c r="DM7" s="2">
        <v>4</v>
      </c>
      <c r="DN7" s="2">
        <v>1</v>
      </c>
      <c r="DQ7" s="2">
        <f>IF($DQ$4,DS7,"")</f>
      </c>
      <c r="DS7" s="19" t="s">
        <v>3415</v>
      </c>
      <c r="DX7" s="2" t="s">
        <v>3460</v>
      </c>
      <c r="DZ7" s="268"/>
      <c r="EA7" s="18" t="s">
        <v>2624</v>
      </c>
      <c r="EB7" s="18">
        <f>V3</f>
        <v>800</v>
      </c>
      <c r="EC7" s="18"/>
      <c r="ED7" s="18"/>
      <c r="EE7" s="18"/>
      <c r="EF7" s="18"/>
      <c r="EG7" s="18"/>
      <c r="EH7" s="18"/>
      <c r="EI7" s="18"/>
      <c r="EJ7" s="18"/>
      <c r="EK7" s="269"/>
      <c r="EM7" s="268"/>
      <c r="EN7" s="18"/>
      <c r="EO7" s="18"/>
      <c r="EP7" s="18"/>
      <c r="EQ7" s="18" t="s">
        <v>852</v>
      </c>
      <c r="ER7" s="269"/>
      <c r="ET7" s="268"/>
      <c r="EU7" s="18"/>
      <c r="EV7" s="33">
        <f>IF(EV6,1,2)</f>
        <v>2</v>
      </c>
      <c r="EW7" s="269"/>
    </row>
    <row r="8" spans="1:153" ht="18" customHeight="1">
      <c r="A8" s="106"/>
      <c r="B8" s="106"/>
      <c r="C8" s="106"/>
      <c r="D8" s="108">
        <f>IF($BG$12,BG13,"")</f>
      </c>
      <c r="E8" s="108"/>
      <c r="F8" s="108"/>
      <c r="G8" s="108"/>
      <c r="H8" s="108"/>
      <c r="I8" s="110"/>
      <c r="J8" s="26">
        <f aca="true" t="shared" si="3" ref="J8:J26">IF($F$24="a",CC39,"")</f>
      </c>
      <c r="K8" s="26">
        <f aca="true" t="shared" si="4" ref="K8:K26">IF($F$24="a",CD39,"")</f>
      </c>
      <c r="L8" s="122">
        <f>IF($F$24="a",C47,"")</f>
      </c>
      <c r="M8" s="106"/>
      <c r="N8" s="106"/>
      <c r="P8" s="20"/>
      <c r="R8" s="256"/>
      <c r="S8" s="256"/>
      <c r="T8" s="1"/>
      <c r="U8" s="1"/>
      <c r="V8" s="2" t="str">
        <f>CHOOSE(BC3,BA4,BA5,BA6,BA7,BA8,BA9)</f>
        <v>PR111</v>
      </c>
      <c r="W8" s="1"/>
      <c r="X8" s="1"/>
      <c r="Y8" s="1"/>
      <c r="Z8" s="1"/>
      <c r="AA8" s="322"/>
      <c r="AB8" s="334">
        <v>8</v>
      </c>
      <c r="AC8" s="18" t="s">
        <v>3080</v>
      </c>
      <c r="AD8" s="18" t="b">
        <f>Q26</f>
        <v>0</v>
      </c>
      <c r="AE8" s="18"/>
      <c r="AF8" s="18"/>
      <c r="AG8" s="269"/>
      <c r="AI8" s="2">
        <v>2</v>
      </c>
      <c r="AJ8" s="2">
        <v>2</v>
      </c>
      <c r="AK8" s="2">
        <v>75</v>
      </c>
      <c r="AL8" s="2" t="s">
        <v>5000</v>
      </c>
      <c r="AM8" s="138" t="s">
        <v>2015</v>
      </c>
      <c r="AN8" s="138" t="s">
        <v>3367</v>
      </c>
      <c r="AS8" s="2">
        <v>5</v>
      </c>
      <c r="AT8" s="2">
        <v>2500</v>
      </c>
      <c r="AU8" s="27" t="s">
        <v>3484</v>
      </c>
      <c r="AV8" s="27" t="s">
        <v>2624</v>
      </c>
      <c r="AW8" s="27" t="s">
        <v>2625</v>
      </c>
      <c r="AX8" s="30" t="s">
        <v>3449</v>
      </c>
      <c r="AY8" s="29" t="s">
        <v>3450</v>
      </c>
      <c r="AZ8" s="3" t="str">
        <f t="shared" si="0"/>
        <v>HR-VR</v>
      </c>
      <c r="BA8" s="3" t="str">
        <f>IF($Q$10=1,"PR112D-L","")</f>
        <v>PR112D-L</v>
      </c>
      <c r="BB8" s="29" t="s">
        <v>3448</v>
      </c>
      <c r="BC8" s="29" t="s">
        <v>3451</v>
      </c>
      <c r="BG8"/>
      <c r="BH8"/>
      <c r="BI8" s="11"/>
      <c r="BJ8" s="11"/>
      <c r="BK8" s="11"/>
      <c r="BL8" s="11" t="s">
        <v>446</v>
      </c>
      <c r="BM8" s="11" t="b">
        <v>0</v>
      </c>
      <c r="BN8" s="11">
        <v>4</v>
      </c>
      <c r="BO8" s="12">
        <f>IF(BM8=TRUE,BN8,5)</f>
        <v>5</v>
      </c>
      <c r="BP8" s="11"/>
      <c r="BQ8" s="11"/>
      <c r="BR8" s="11"/>
      <c r="BS8" s="11"/>
      <c r="BW8" s="2" t="str">
        <f>CONCATENATE("D",BX8)</f>
        <v>D-</v>
      </c>
      <c r="BX8" s="27" t="str">
        <f>CHOOSE($CA$8,BK162,BK163,BK164,BK165,BK166,BK167,BK168,BK169,BK170,BK171,BK172,BK173,BK174,BK175,BK176,BK177,BK178,BK179,BK180,BK181,"","-")</f>
        <v>-</v>
      </c>
      <c r="BY8" s="2" t="str">
        <f>CONCATENATE("Dolní svorky: ",BZ8)</f>
        <v>Dolní svorky: -</v>
      </c>
      <c r="BZ8" s="27" t="str">
        <f>CHOOSE($CA$8,BG162,BG163,BG164,BG165,BG166,BG167,BG168,BG169,BG170,BG171,BG172,BG173,BG174,BG175,BG176,BG177,BG178,BG179,BG180,BG181,"Standard - zadní vodorovné.","-")</f>
        <v>-</v>
      </c>
      <c r="CA8" s="11">
        <f>DB30</f>
        <v>22</v>
      </c>
      <c r="CB8" s="2" t="s">
        <v>2173</v>
      </c>
      <c r="CC8" s="27" t="str">
        <f>CHOOSE($CA$8,BF162,BF163,BF164,BF165,BF166,BF167,BF168,BF169,BF170,BF171,BF172,BF173,BF174,BF175,BF176,BF177,BF178,BF179,BF180,BF181,"---","-")</f>
        <v>-</v>
      </c>
      <c r="CD8" s="27" t="str">
        <f>IF(CA8=22,BZ8,BY8)</f>
        <v>-</v>
      </c>
      <c r="CE8" s="27" t="str">
        <f>CHOOSE($CA$8,BH162,BH163,BH164,BH165,BH166,BH167,BH168,BH169,BH170,BH171,BH172,BH173,BH174,BH175,BH176,BH177,BH178,BH179,BH180,BH181,0,"-")</f>
        <v>-</v>
      </c>
      <c r="CF8" s="27" t="str">
        <f>IF(OR(CA8=22,CA8=21),BX8,BW8)</f>
        <v>-</v>
      </c>
      <c r="CG8" s="27" t="s">
        <v>2113</v>
      </c>
      <c r="CH8" s="15">
        <f t="shared" si="1"/>
        <v>1</v>
      </c>
      <c r="CK8" s="2">
        <f t="shared" si="2"/>
      </c>
      <c r="CQ8" s="268"/>
      <c r="CR8" s="18"/>
      <c r="CS8" s="18"/>
      <c r="CT8" s="270" t="s">
        <v>4999</v>
      </c>
      <c r="CU8" s="18"/>
      <c r="CV8" s="269"/>
      <c r="CX8" s="268"/>
      <c r="CY8" s="270" t="str">
        <f>IF(CY7=0,"xxx",CY7)</f>
        <v>1</v>
      </c>
      <c r="CZ8" s="308"/>
      <c r="DA8" s="270" t="s">
        <v>2016</v>
      </c>
      <c r="DB8" s="270"/>
      <c r="DC8" s="309"/>
      <c r="DL8" s="2" t="s">
        <v>4997</v>
      </c>
      <c r="DM8" s="2">
        <v>3</v>
      </c>
      <c r="DN8" s="2">
        <v>1</v>
      </c>
      <c r="DQ8" s="2">
        <f>IF($DQ$4,DS8,"")</f>
      </c>
      <c r="DS8" s="19" t="s">
        <v>2212</v>
      </c>
      <c r="DX8" s="2" t="str">
        <f>IF(DX4,DX7,DX6)</f>
        <v>Vzájemné blokování jističů</v>
      </c>
      <c r="DZ8" s="26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269"/>
      <c r="EM8" s="268"/>
      <c r="EN8" s="18"/>
      <c r="EO8" s="18"/>
      <c r="EP8" s="18"/>
      <c r="EQ8" s="18"/>
      <c r="ER8" s="309"/>
      <c r="ET8" s="268"/>
      <c r="EU8" s="18"/>
      <c r="EV8" s="18"/>
      <c r="EW8" s="269"/>
    </row>
    <row r="9" spans="1:153" ht="18" customHeight="1" thickBot="1">
      <c r="A9" s="106"/>
      <c r="B9" s="107" t="s">
        <v>778</v>
      </c>
      <c r="C9" s="106"/>
      <c r="D9" s="108">
        <f>IF($BG$12,BG14,"")</f>
      </c>
      <c r="E9" s="108"/>
      <c r="F9" s="108"/>
      <c r="G9" s="108"/>
      <c r="H9" s="108"/>
      <c r="I9" s="110"/>
      <c r="J9" s="26">
        <f t="shared" si="3"/>
      </c>
      <c r="K9" s="26">
        <f t="shared" si="4"/>
      </c>
      <c r="L9" s="122">
        <f>IF($F$24="a",C48,"")</f>
      </c>
      <c r="M9" s="106"/>
      <c r="N9" s="106"/>
      <c r="P9" s="21"/>
      <c r="R9" s="256"/>
      <c r="S9" s="256"/>
      <c r="T9" s="1"/>
      <c r="U9" s="1"/>
      <c r="V9" s="2" t="str">
        <f>CHOOSE(BC4,BC23,BC24,BC25)</f>
        <v>LI.</v>
      </c>
      <c r="W9" s="1"/>
      <c r="X9" s="1"/>
      <c r="Y9" s="1"/>
      <c r="Z9" s="1"/>
      <c r="AA9" s="322"/>
      <c r="AB9" s="334">
        <v>9</v>
      </c>
      <c r="AC9" s="18" t="s">
        <v>677</v>
      </c>
      <c r="AD9" s="18" t="b">
        <f>AND(V8="PR111")</f>
        <v>1</v>
      </c>
      <c r="AE9" s="18"/>
      <c r="AF9" s="18"/>
      <c r="AG9" s="269"/>
      <c r="AI9" s="2">
        <v>2</v>
      </c>
      <c r="AJ9" s="2">
        <v>3</v>
      </c>
      <c r="AK9" s="2">
        <v>40</v>
      </c>
      <c r="AL9" s="2" t="s">
        <v>4997</v>
      </c>
      <c r="AM9" s="138" t="s">
        <v>3368</v>
      </c>
      <c r="AN9" s="138" t="s">
        <v>2015</v>
      </c>
      <c r="AO9" s="3"/>
      <c r="AS9" s="2">
        <v>6</v>
      </c>
      <c r="AT9" s="2">
        <v>3200</v>
      </c>
      <c r="AU9" s="2">
        <v>1</v>
      </c>
      <c r="AV9" s="27">
        <v>1</v>
      </c>
      <c r="AW9" s="27">
        <v>42</v>
      </c>
      <c r="AX9" s="29" t="s">
        <v>4994</v>
      </c>
      <c r="AY9" s="31" t="s">
        <v>2792</v>
      </c>
      <c r="AZ9" s="3" t="str">
        <f t="shared" si="0"/>
        <v>HR-F.</v>
      </c>
      <c r="BA9" s="3" t="str">
        <f>IF($Q$10=1,"PR113D-M","")</f>
        <v>PR113D-M</v>
      </c>
      <c r="BB9" s="29">
        <v>1</v>
      </c>
      <c r="BC9" s="29" t="s">
        <v>4995</v>
      </c>
      <c r="BG9" t="b">
        <f>OR(BG5,BR6)</f>
        <v>0</v>
      </c>
      <c r="BI9" s="11"/>
      <c r="BJ9" s="11"/>
      <c r="BK9" s="11" t="s">
        <v>1326</v>
      </c>
      <c r="BL9" s="11"/>
      <c r="BM9" s="11" t="b">
        <v>0</v>
      </c>
      <c r="BN9" s="11" t="b">
        <f>OR(BP9,BO10)</f>
        <v>0</v>
      </c>
      <c r="BO9" s="12">
        <f>IF(BN9=TRUE,1,2)</f>
        <v>2</v>
      </c>
      <c r="BP9" s="11" t="b">
        <f>AND(Q10=1,BM9)</f>
        <v>0</v>
      </c>
      <c r="BQ9" s="11"/>
      <c r="BR9" s="11"/>
      <c r="BS9" s="11"/>
      <c r="BW9" s="15" t="str">
        <f>CHOOSE(BO5,BF75,BF76,BF77,BF78,BF79,BF80,BF81,BF82,BF83,BF84,"-")</f>
        <v>-</v>
      </c>
      <c r="BX9" s="15" t="str">
        <f>CHOOSE(BO5,BG75,BG76,BG77,BG78,BG79,BG80,BG81,BG82,BG83,BG84,"-")</f>
        <v>-</v>
      </c>
      <c r="BY9" s="15" t="str">
        <f>CHOOSE(BO5,BH75,BH76,BH77,BH78,BH79,BH80,BH81,BH82,BH83,BH84,"-")</f>
        <v>-</v>
      </c>
      <c r="BZ9" s="15" t="str">
        <f>CHOOSE(BO5,BK75,BK76,BK77,BK78,BK79,BK80,BK81,BK82,BK83,BK84,"-")</f>
        <v>-</v>
      </c>
      <c r="CB9" s="2" t="s">
        <v>2171</v>
      </c>
      <c r="CC9" s="27" t="str">
        <f>CHOOSE(CU16,BF182,BF183,BF184,BF185,BF186,"-")</f>
        <v>-</v>
      </c>
      <c r="CD9" s="27" t="str">
        <f>CHOOSE(CU16,BG182,BG183,BG184,BG185,BG186,"-")</f>
        <v>-</v>
      </c>
      <c r="CE9" s="27" t="str">
        <f>CHOOSE(CU16,BH182,BH183,BH184,BH185,BH186,"-")</f>
        <v>-</v>
      </c>
      <c r="CF9" s="27" t="str">
        <f>CHOOSE(CU16,BK182,BK183,BK184,BK185,BK186,"-")</f>
        <v>-</v>
      </c>
      <c r="CG9" s="27" t="s">
        <v>2113</v>
      </c>
      <c r="CH9" s="15">
        <f t="shared" si="1"/>
        <v>1</v>
      </c>
      <c r="CK9" s="2">
        <f t="shared" si="2"/>
      </c>
      <c r="CQ9" s="268"/>
      <c r="CR9" s="18"/>
      <c r="CS9" s="18"/>
      <c r="CT9" s="18"/>
      <c r="CU9" s="18"/>
      <c r="CV9" s="269"/>
      <c r="CX9" s="268"/>
      <c r="CY9" s="270" t="s">
        <v>2182</v>
      </c>
      <c r="CZ9" s="308">
        <f>V5</f>
        <v>3</v>
      </c>
      <c r="DA9" s="270" t="s">
        <v>3369</v>
      </c>
      <c r="DB9" s="270"/>
      <c r="DC9" s="309"/>
      <c r="DH9" s="27" t="b">
        <f>AND(Q10=2,BM9)</f>
        <v>0</v>
      </c>
      <c r="DL9" s="2" t="s">
        <v>4997</v>
      </c>
      <c r="DM9" s="2">
        <v>4</v>
      </c>
      <c r="DN9" s="2">
        <v>1</v>
      </c>
      <c r="DQ9" s="2">
        <f>IF($DQ$4,DS9,"")</f>
      </c>
      <c r="DS9" s="19" t="s">
        <v>2209</v>
      </c>
      <c r="DZ9" s="268"/>
      <c r="EA9" s="18" t="s">
        <v>3894</v>
      </c>
      <c r="EB9" s="18" t="s">
        <v>4997</v>
      </c>
      <c r="EC9" s="18">
        <v>42</v>
      </c>
      <c r="ED9" s="18">
        <v>1600</v>
      </c>
      <c r="EE9" s="18" t="b">
        <f aca="true" t="shared" si="5" ref="EE9:EE20">AND($EB$3,$EB$4,$EB$5=EB9,$EB$6=EC9,$EB$7=ED9)</f>
        <v>0</v>
      </c>
      <c r="EF9" s="18">
        <v>1</v>
      </c>
      <c r="EG9" s="18">
        <f>IF(EE9,EF9,0)</f>
        <v>0</v>
      </c>
      <c r="EH9" s="18"/>
      <c r="EI9" s="18" t="b">
        <f aca="true" t="shared" si="6" ref="EI9:EI20">AND($EB$4,$EB$5=EB9,$EB$6=EC9,$EB$7=ED9)</f>
        <v>0</v>
      </c>
      <c r="EJ9" s="18">
        <f>IF(EI9,EF9,0)</f>
        <v>0</v>
      </c>
      <c r="EK9" s="269"/>
      <c r="EM9" s="268"/>
      <c r="EN9" s="270"/>
      <c r="EO9" s="18" t="b">
        <f>AND(EO3,EO4,OR(EO6=EQ6,EO6=EQ7))</f>
        <v>0</v>
      </c>
      <c r="EP9" s="18"/>
      <c r="EQ9" s="18"/>
      <c r="ER9" s="269"/>
      <c r="ET9" s="268"/>
      <c r="EU9" s="18"/>
      <c r="EV9" s="18"/>
      <c r="EW9" s="269"/>
    </row>
    <row r="10" spans="1:153" ht="16.5" customHeight="1" thickBot="1">
      <c r="A10" s="106"/>
      <c r="B10" s="106"/>
      <c r="C10" s="108" t="s">
        <v>4611</v>
      </c>
      <c r="D10" s="106"/>
      <c r="E10" s="106"/>
      <c r="F10" s="106"/>
      <c r="G10" s="111" t="str">
        <f>IF(BR13,"Poz. kont. - Jen výsuvné!","Poziční kontakty")</f>
        <v>Poziční kontakty</v>
      </c>
      <c r="H10" s="106"/>
      <c r="I10" s="110"/>
      <c r="J10" s="26">
        <f t="shared" si="3"/>
      </c>
      <c r="K10" s="26">
        <f t="shared" si="4"/>
      </c>
      <c r="L10" s="122">
        <f>IF($F$24="a",C49,"")</f>
      </c>
      <c r="M10" s="106"/>
      <c r="N10" s="106"/>
      <c r="P10" s="1" t="s">
        <v>3483</v>
      </c>
      <c r="Q10" s="232">
        <v>1</v>
      </c>
      <c r="R10" s="256"/>
      <c r="S10" s="256"/>
      <c r="T10" s="1"/>
      <c r="U10" s="1"/>
      <c r="V10" s="1"/>
      <c r="W10" s="1"/>
      <c r="X10" s="1"/>
      <c r="Y10" s="1"/>
      <c r="Z10" s="1"/>
      <c r="AA10" s="322"/>
      <c r="AB10" s="212" t="s">
        <v>3084</v>
      </c>
      <c r="AC10" s="18" t="s">
        <v>3081</v>
      </c>
      <c r="AD10" s="18" t="b">
        <f>AND(AD4,AD7,AD8=FALSE,AD9)</f>
        <v>0</v>
      </c>
      <c r="AE10" s="18">
        <v>1</v>
      </c>
      <c r="AF10" s="18">
        <f aca="true" t="shared" si="7" ref="AF10:AF16">IF(AD10,AE10,0)</f>
        <v>0</v>
      </c>
      <c r="AG10" s="269" t="s">
        <v>3070</v>
      </c>
      <c r="AI10" s="2">
        <v>2</v>
      </c>
      <c r="AJ10" s="2">
        <v>3</v>
      </c>
      <c r="AK10" s="2">
        <v>55</v>
      </c>
      <c r="AL10" s="2" t="s">
        <v>4997</v>
      </c>
      <c r="AM10" s="138" t="s">
        <v>2016</v>
      </c>
      <c r="AN10" s="138" t="s">
        <v>3371</v>
      </c>
      <c r="AO10" s="3"/>
      <c r="AS10" s="2">
        <v>7</v>
      </c>
      <c r="AT10" s="2">
        <v>4000</v>
      </c>
      <c r="AU10" s="2">
        <v>1</v>
      </c>
      <c r="AV10" s="2">
        <v>1</v>
      </c>
      <c r="AW10" s="27">
        <v>50</v>
      </c>
      <c r="AX10" s="29" t="s">
        <v>4994</v>
      </c>
      <c r="AY10" s="31" t="s">
        <v>2793</v>
      </c>
      <c r="AZ10" s="3" t="str">
        <f t="shared" si="0"/>
        <v>HR-FL</v>
      </c>
      <c r="BA10" s="3"/>
      <c r="BB10" s="29">
        <v>1</v>
      </c>
      <c r="BC10" s="29" t="s">
        <v>4996</v>
      </c>
      <c r="BG10" s="14"/>
      <c r="BI10" s="11"/>
      <c r="BJ10" s="11"/>
      <c r="BK10" s="11" t="s">
        <v>1327</v>
      </c>
      <c r="BL10" s="11"/>
      <c r="BM10" s="11" t="b">
        <v>0</v>
      </c>
      <c r="BN10" s="11">
        <f>IF(BP10=TRUE,1,2)</f>
        <v>2</v>
      </c>
      <c r="BO10" s="12" t="b">
        <f>AND(BM9=FALSE,BP10=TRUE)</f>
        <v>0</v>
      </c>
      <c r="BP10" s="11" t="b">
        <f>AND(Q10=1,BM10)</f>
        <v>0</v>
      </c>
      <c r="BQ10" s="11"/>
      <c r="BR10" s="11"/>
      <c r="BS10" s="11"/>
      <c r="BW10" s="15" t="str">
        <f>CHOOSE($BO$5,BF132,BF133,BF134,BF135,BF136,BF137,BF138,BF139,BF140,BF141,"-")</f>
        <v>-</v>
      </c>
      <c r="BX10" s="15" t="str">
        <f>CHOOSE($BO$5,BG132,BG133,BG134,BG135,BG136,BG137,BG138,BG139,BG140,BG141,"-")</f>
        <v>-</v>
      </c>
      <c r="BY10" s="15" t="str">
        <f>CHOOSE($BO$5,BH132,BH133,BH134,BH135,BH136,BH137,BH138,BH139,BH140,BH141,"-")</f>
        <v>-</v>
      </c>
      <c r="BZ10" s="15" t="str">
        <f>CHOOSE($BO$5,BK132,BK133,BK134,BK135,BK136,BK137,BK138,BK139,BK140,BK141,"-")</f>
        <v>-</v>
      </c>
      <c r="CA10" s="11"/>
      <c r="CB10" s="2" t="s">
        <v>3069</v>
      </c>
      <c r="CC10" s="27" t="str">
        <f>CHOOSE($EG$22,BF187,BF188,BF189,BF190,BF191,BF192,BF193,BF194,BF195,BF196,BF197,BF198,"-")</f>
        <v>-</v>
      </c>
      <c r="CD10" s="27" t="str">
        <f>CHOOSE($EG$22,BG187,BG188,BG189,BG190,BG191,BG192,BG193,BG194,BG195,BG196,BG197,BG198,"-")</f>
        <v>-</v>
      </c>
      <c r="CE10" s="27" t="str">
        <f>CHOOSE($EG$22,BH187,BH188,BH189,BH190,BH191,BH192,BH193,BH194,BH195,BH196,BH197,BH198,"-")</f>
        <v>-</v>
      </c>
      <c r="CF10" s="27" t="str">
        <f>CHOOSE($EG$22,BK187,BK188,BK189,BK190,BK191,BK192,BK193,BK194,BK195,BK196,BK197,BK198,"-")</f>
        <v>-</v>
      </c>
      <c r="CG10" s="27" t="s">
        <v>2113</v>
      </c>
      <c r="CH10" s="15">
        <f t="shared" si="1"/>
        <v>1</v>
      </c>
      <c r="CK10" s="2">
        <f t="shared" si="2"/>
      </c>
      <c r="CQ10" s="268"/>
      <c r="CR10" s="18"/>
      <c r="CS10" s="18" t="b">
        <f>AND(CS5,CS3=CT4,CS4=CT7)</f>
        <v>0</v>
      </c>
      <c r="CT10" s="18">
        <v>1</v>
      </c>
      <c r="CU10" s="18">
        <f>IF(CS10,CT10,0)</f>
        <v>0</v>
      </c>
      <c r="CV10" s="269"/>
      <c r="CX10" s="268"/>
      <c r="CY10" s="270"/>
      <c r="CZ10" s="308"/>
      <c r="DA10" s="270" t="s">
        <v>3370</v>
      </c>
      <c r="DB10" s="270"/>
      <c r="DC10" s="309"/>
      <c r="DH10" s="2" t="s">
        <v>4763</v>
      </c>
      <c r="DL10" s="2" t="s">
        <v>5000</v>
      </c>
      <c r="DM10" s="2">
        <v>3</v>
      </c>
      <c r="DN10" s="2">
        <v>2</v>
      </c>
      <c r="DS10" s="19"/>
      <c r="DZ10" s="268"/>
      <c r="EA10" s="18" t="s">
        <v>3895</v>
      </c>
      <c r="EB10" s="18" t="s">
        <v>4997</v>
      </c>
      <c r="EC10" s="18">
        <v>42</v>
      </c>
      <c r="ED10" s="18">
        <v>2000</v>
      </c>
      <c r="EE10" s="18" t="b">
        <f t="shared" si="5"/>
        <v>0</v>
      </c>
      <c r="EF10" s="18">
        <v>2</v>
      </c>
      <c r="EG10" s="18">
        <f aca="true" t="shared" si="8" ref="EG10:EG20">IF(EE10,EF10,0)</f>
        <v>0</v>
      </c>
      <c r="EH10" s="18"/>
      <c r="EI10" s="18" t="b">
        <f t="shared" si="6"/>
        <v>0</v>
      </c>
      <c r="EJ10" s="18">
        <f aca="true" t="shared" si="9" ref="EJ10:EJ20">IF(EI10,EF10,0)</f>
        <v>0</v>
      </c>
      <c r="EK10" s="269"/>
      <c r="EM10" s="268"/>
      <c r="EN10" s="18"/>
      <c r="EO10" s="33">
        <f>IF(EO9,1,2)</f>
        <v>2</v>
      </c>
      <c r="EP10" s="18"/>
      <c r="EQ10" s="18"/>
      <c r="ER10" s="269"/>
      <c r="ET10" s="268"/>
      <c r="EU10" s="18" t="s">
        <v>322</v>
      </c>
      <c r="EV10" s="18"/>
      <c r="EW10" s="269"/>
    </row>
    <row r="11" spans="1:153" ht="16.5" customHeight="1">
      <c r="A11" s="106"/>
      <c r="B11" s="106"/>
      <c r="C11" s="108" t="s">
        <v>4612</v>
      </c>
      <c r="D11" s="106"/>
      <c r="E11" s="106"/>
      <c r="F11" s="106"/>
      <c r="G11" s="111" t="s">
        <v>2241</v>
      </c>
      <c r="H11" s="106"/>
      <c r="I11" s="110"/>
      <c r="J11" s="26">
        <f t="shared" si="3"/>
      </c>
      <c r="K11" s="26">
        <f t="shared" si="4"/>
      </c>
      <c r="L11" s="122">
        <f>IF($F$24="a",C50,"")</f>
      </c>
      <c r="M11" s="106"/>
      <c r="N11" s="106"/>
      <c r="R11" s="256"/>
      <c r="S11" s="256"/>
      <c r="T11" s="1"/>
      <c r="U11" s="1"/>
      <c r="V11" s="1"/>
      <c r="W11" s="1"/>
      <c r="X11" s="1"/>
      <c r="Y11" s="1"/>
      <c r="Z11" s="1"/>
      <c r="AA11" s="322"/>
      <c r="AB11" s="212" t="s">
        <v>3881</v>
      </c>
      <c r="AC11" s="18" t="s">
        <v>3082</v>
      </c>
      <c r="AD11" s="18" t="b">
        <f>AND(AD5,AD6,AD8=FALSE)</f>
        <v>0</v>
      </c>
      <c r="AE11" s="18">
        <v>2</v>
      </c>
      <c r="AF11" s="18">
        <f t="shared" si="7"/>
        <v>0</v>
      </c>
      <c r="AG11" s="269" t="s">
        <v>3070</v>
      </c>
      <c r="AI11" s="2">
        <v>2</v>
      </c>
      <c r="AJ11" s="2">
        <v>3</v>
      </c>
      <c r="AK11" s="2">
        <v>75</v>
      </c>
      <c r="AL11" s="2" t="s">
        <v>5000</v>
      </c>
      <c r="AM11" s="138" t="s">
        <v>3369</v>
      </c>
      <c r="AN11" s="138" t="s">
        <v>3368</v>
      </c>
      <c r="AO11" s="3"/>
      <c r="AS11" s="2">
        <v>8</v>
      </c>
      <c r="AT11" s="2">
        <v>5000</v>
      </c>
      <c r="AU11" s="2">
        <v>1</v>
      </c>
      <c r="AV11" s="27">
        <v>2</v>
      </c>
      <c r="AW11" s="27">
        <v>42</v>
      </c>
      <c r="AX11" s="29" t="s">
        <v>4994</v>
      </c>
      <c r="AY11" s="31" t="s">
        <v>2792</v>
      </c>
      <c r="AZ11" s="3" t="str">
        <f t="shared" si="0"/>
        <v>VR-HR</v>
      </c>
      <c r="BA11" s="3"/>
      <c r="BB11" s="29">
        <v>1</v>
      </c>
      <c r="BC11" s="29" t="s">
        <v>4999</v>
      </c>
      <c r="BG11" s="14"/>
      <c r="BH11" t="s">
        <v>3445</v>
      </c>
      <c r="BI11" s="11" t="b">
        <f>OR(V8=BH11,V8=BH12,V8=BH13,V8=BH14,V8=BH15)</f>
        <v>0</v>
      </c>
      <c r="BJ11" s="11"/>
      <c r="BK11" s="15" t="s">
        <v>1116</v>
      </c>
      <c r="BL11" s="11"/>
      <c r="BM11" s="11" t="b">
        <v>0</v>
      </c>
      <c r="BN11" s="11" t="b">
        <f>AND(BM11,BI11)</f>
        <v>0</v>
      </c>
      <c r="BO11" s="12" t="b">
        <f>AND(BM11,BN11=FALSE)</f>
        <v>0</v>
      </c>
      <c r="BP11" s="11">
        <f>IF(BO11=TRUE,1,4)</f>
        <v>4</v>
      </c>
      <c r="BQ11" s="11">
        <f>IF(Q10=1,BP11,W14)</f>
        <v>4</v>
      </c>
      <c r="BR11" s="11"/>
      <c r="BS11" s="11"/>
      <c r="BZ11" s="11"/>
      <c r="CA11" s="11"/>
      <c r="CC11" s="15" t="str">
        <f>CHOOSE(BO3,BF55,BF56,BF57,BF58,BF59,BF60,BF61,BF62,BF63,BF64,"-")</f>
        <v>-</v>
      </c>
      <c r="CD11" s="15" t="str">
        <f>CHOOSE(BO3,BG55,BG56,BG57,BG58,BG59,BG60,BG61,BG62,BG63,BG64,"-")</f>
        <v>-</v>
      </c>
      <c r="CE11" s="135" t="str">
        <f>CHOOSE(BO3,BH55,BH56,BH57,BH58,BH59,BH60,BH61,BH62,BH63,BH64,"-")</f>
        <v>-</v>
      </c>
      <c r="CF11" s="15" t="str">
        <f>CHOOSE(BO3,BK55,BK56,BK57,BK58,BK59,BK60,BK61,BK62,BK63,BK64,"-")</f>
        <v>-</v>
      </c>
      <c r="CG11" s="27" t="s">
        <v>2113</v>
      </c>
      <c r="CH11" s="15">
        <f t="shared" si="1"/>
        <v>1</v>
      </c>
      <c r="CK11" s="2">
        <f t="shared" si="2"/>
      </c>
      <c r="CQ11" s="268"/>
      <c r="CR11" s="18"/>
      <c r="CS11" s="18" t="b">
        <f>AND(CS5,CS3=CT4,CS4=CT8)</f>
        <v>0</v>
      </c>
      <c r="CT11" s="18">
        <v>2</v>
      </c>
      <c r="CU11" s="18">
        <f>IF(CS11,CT11,0)</f>
        <v>0</v>
      </c>
      <c r="CV11" s="269"/>
      <c r="CX11" s="268"/>
      <c r="CY11" s="270" t="s">
        <v>2179</v>
      </c>
      <c r="CZ11" s="308" t="b">
        <f>AND(CZ3,CZ4=DA2)</f>
        <v>0</v>
      </c>
      <c r="DA11" s="270">
        <v>22</v>
      </c>
      <c r="DB11" s="270">
        <f>IF(CZ11,DA11,0)</f>
        <v>0</v>
      </c>
      <c r="DC11" s="309"/>
      <c r="DH11" s="231" t="s">
        <v>2240</v>
      </c>
      <c r="DL11" s="2" t="s">
        <v>5000</v>
      </c>
      <c r="DM11" s="2">
        <v>4</v>
      </c>
      <c r="DN11" s="2">
        <v>2</v>
      </c>
      <c r="DP11" s="27" t="s">
        <v>3416</v>
      </c>
      <c r="DQ11" s="236">
        <v>1</v>
      </c>
      <c r="DR11" s="27">
        <f>IF(DQ4,DQ11,5)</f>
        <v>5</v>
      </c>
      <c r="DS11" s="19"/>
      <c r="DX11" s="2" t="s">
        <v>3461</v>
      </c>
      <c r="DZ11" s="268"/>
      <c r="EA11" s="18" t="s">
        <v>3898</v>
      </c>
      <c r="EB11" s="18" t="s">
        <v>4997</v>
      </c>
      <c r="EC11" s="18">
        <v>65</v>
      </c>
      <c r="ED11" s="18">
        <v>1250</v>
      </c>
      <c r="EE11" s="18" t="b">
        <f t="shared" si="5"/>
        <v>0</v>
      </c>
      <c r="EF11" s="18">
        <v>3</v>
      </c>
      <c r="EG11" s="18">
        <f t="shared" si="8"/>
        <v>0</v>
      </c>
      <c r="EH11" s="18"/>
      <c r="EI11" s="18" t="b">
        <f t="shared" si="6"/>
        <v>0</v>
      </c>
      <c r="EJ11" s="18">
        <f t="shared" si="9"/>
        <v>0</v>
      </c>
      <c r="EK11" s="269"/>
      <c r="EM11" s="268"/>
      <c r="EN11" s="18"/>
      <c r="EO11" s="18"/>
      <c r="EP11" s="18"/>
      <c r="EQ11" s="18"/>
      <c r="ER11" s="269"/>
      <c r="ET11" s="268"/>
      <c r="EU11" s="18" t="s">
        <v>323</v>
      </c>
      <c r="EV11" s="18"/>
      <c r="EW11" s="269"/>
    </row>
    <row r="12" spans="1:153" ht="16.5" customHeight="1" thickBot="1">
      <c r="A12" s="106"/>
      <c r="B12" s="106"/>
      <c r="C12" s="108" t="str">
        <f>BI20</f>
        <v>Podpěťová cívka</v>
      </c>
      <c r="D12" s="106"/>
      <c r="E12" s="106"/>
      <c r="F12" s="106"/>
      <c r="G12" s="108" t="s">
        <v>2242</v>
      </c>
      <c r="H12" s="106"/>
      <c r="I12" s="110"/>
      <c r="J12" s="26">
        <f t="shared" si="3"/>
      </c>
      <c r="K12" s="26">
        <f t="shared" si="4"/>
      </c>
      <c r="L12" s="122">
        <f>IF($F$24="a",C51,"")</f>
      </c>
      <c r="M12" s="106"/>
      <c r="N12" s="106"/>
      <c r="Q12" s="2" t="s">
        <v>3485</v>
      </c>
      <c r="R12" s="256"/>
      <c r="S12" s="256" t="str">
        <f>IF(Q10=1,Q12,Q13)</f>
        <v>Zkratová odolnost Icu</v>
      </c>
      <c r="T12" s="1"/>
      <c r="U12" s="1" t="b">
        <f>AND(Q10=2,BM11)</f>
        <v>0</v>
      </c>
      <c r="V12" s="235">
        <f>IF(U12,"2/2","")</f>
      </c>
      <c r="W12" s="1"/>
      <c r="X12" s="1"/>
      <c r="Y12" s="1"/>
      <c r="Z12" s="1"/>
      <c r="AA12" s="322"/>
      <c r="AB12" s="212" t="s">
        <v>3881</v>
      </c>
      <c r="AC12" s="18" t="s">
        <v>3083</v>
      </c>
      <c r="AD12" s="18" t="b">
        <f>AND(AD5,AD7,AD8=FALSE)</f>
        <v>0</v>
      </c>
      <c r="AE12" s="18">
        <v>3</v>
      </c>
      <c r="AF12" s="18">
        <f t="shared" si="7"/>
        <v>0</v>
      </c>
      <c r="AG12" s="269" t="s">
        <v>3070</v>
      </c>
      <c r="AI12" s="2">
        <v>2</v>
      </c>
      <c r="AJ12" s="2">
        <v>4</v>
      </c>
      <c r="AK12" s="2">
        <v>40</v>
      </c>
      <c r="AL12" s="2" t="s">
        <v>4997</v>
      </c>
      <c r="AM12" s="138" t="s">
        <v>3370</v>
      </c>
      <c r="AN12" s="138" t="s">
        <v>2016</v>
      </c>
      <c r="AO12" s="3"/>
      <c r="AS12" s="2">
        <v>9</v>
      </c>
      <c r="AT12" s="2">
        <v>6300</v>
      </c>
      <c r="AU12" s="2">
        <v>1</v>
      </c>
      <c r="AV12" s="27">
        <v>2</v>
      </c>
      <c r="AW12" s="27">
        <v>50</v>
      </c>
      <c r="AX12" s="29" t="s">
        <v>4994</v>
      </c>
      <c r="AY12" s="31" t="s">
        <v>2793</v>
      </c>
      <c r="AZ12" s="3" t="str">
        <f t="shared" si="0"/>
        <v>VR-F.</v>
      </c>
      <c r="BA12" s="3"/>
      <c r="BB12" s="29">
        <v>2</v>
      </c>
      <c r="BC12" s="29" t="s">
        <v>4996</v>
      </c>
      <c r="BG12" t="b">
        <f>AND(BM3=FALSE,BM23)</f>
        <v>0</v>
      </c>
      <c r="BH12" t="s">
        <v>852</v>
      </c>
      <c r="BI12" s="11"/>
      <c r="BJ12" s="11"/>
      <c r="BK12" s="15" t="s">
        <v>3411</v>
      </c>
      <c r="BL12" s="11"/>
      <c r="BM12" s="15" t="b">
        <v>0</v>
      </c>
      <c r="BN12" s="11">
        <f>IF(V6="Pevné",1,2)</f>
        <v>2</v>
      </c>
      <c r="BO12" s="12">
        <f>IF(BQ12,5,BS12)</f>
        <v>5</v>
      </c>
      <c r="BP12" s="11" t="b">
        <f>NOT(BM12)</f>
        <v>1</v>
      </c>
      <c r="BQ12" s="11" t="b">
        <f>OR(DH2,BP12)</f>
        <v>1</v>
      </c>
      <c r="BR12" s="11" t="b">
        <f>Q26</f>
        <v>0</v>
      </c>
      <c r="BS12" s="11">
        <f>IF(BR12,BN12+2,BN12)</f>
        <v>2</v>
      </c>
      <c r="BZ12" s="11"/>
      <c r="CA12" s="11"/>
      <c r="CC12" s="15" t="str">
        <f>CHOOSE(BO4,BF65,BF66,BF67,BF68,BF69,BF70,BF71,BF72,BF73,BF74,"-")</f>
        <v>-</v>
      </c>
      <c r="CD12" s="15" t="str">
        <f>CHOOSE(BO4,BG65,BG66,BG67,BG68,BG69,BG70,BG71,BG72,BG73,BG74,"-")</f>
        <v>-</v>
      </c>
      <c r="CE12" s="135" t="str">
        <f>CHOOSE(BO4,BH65,BH66,BH67,BH68,BH69,BH70,BH71,BH72,BH73,BH74,"-")</f>
        <v>-</v>
      </c>
      <c r="CF12" s="15" t="str">
        <f>CHOOSE(BO4,BK65,BK66,BK67,BK68,BK69,BK70,BK71,BK72,BK73,BK74,"-")</f>
        <v>-</v>
      </c>
      <c r="CG12" s="27" t="s">
        <v>2113</v>
      </c>
      <c r="CH12" s="15">
        <f t="shared" si="1"/>
        <v>1</v>
      </c>
      <c r="CK12" s="2">
        <f t="shared" si="2"/>
      </c>
      <c r="CQ12" s="268"/>
      <c r="CR12" s="18"/>
      <c r="CS12" s="18" t="b">
        <f>AND(CS5,CS3=CT5,CS4=CT7)</f>
        <v>0</v>
      </c>
      <c r="CT12" s="18">
        <v>3</v>
      </c>
      <c r="CU12" s="18">
        <f>IF(CS12,CT12,0)</f>
        <v>0</v>
      </c>
      <c r="CV12" s="269"/>
      <c r="CX12" s="268"/>
      <c r="CY12" s="270"/>
      <c r="CZ12" s="308" t="b">
        <f>AND(CZ3,CZ4=DA3)</f>
        <v>0</v>
      </c>
      <c r="DA12" s="270">
        <f>IF($V$5=3,$CY$8+0,$CY$8+10)</f>
        <v>1</v>
      </c>
      <c r="DB12" s="270">
        <f aca="true" t="shared" si="10" ref="DB12:DB29">IF(CZ12,DA12,0)</f>
        <v>0</v>
      </c>
      <c r="DC12" s="309"/>
      <c r="DH12" s="43" t="str">
        <f>IF(Q10=1,DH11,"")</f>
        <v>Mechanická signalizace vypnutí spouští</v>
      </c>
      <c r="DL12" s="2" t="s">
        <v>5010</v>
      </c>
      <c r="DM12" s="2">
        <v>3</v>
      </c>
      <c r="DN12" s="2">
        <v>3</v>
      </c>
      <c r="DQ12" s="236">
        <f>CHOOSE(DQ11,DQ6,DQ7,DQ8,DQ9)</f>
      </c>
      <c r="DR12" s="28" t="str">
        <f>IF(DQ4,DQ12,"xxx")</f>
        <v>xxx</v>
      </c>
      <c r="DS12" s="19"/>
      <c r="DX12" s="2">
        <f>IF(DQ2,DX11,"")</f>
      </c>
      <c r="DZ12" s="268"/>
      <c r="EA12" s="18" t="s">
        <v>3896</v>
      </c>
      <c r="EB12" s="18" t="s">
        <v>4997</v>
      </c>
      <c r="EC12" s="18">
        <v>65</v>
      </c>
      <c r="ED12" s="18">
        <v>1600</v>
      </c>
      <c r="EE12" s="18" t="b">
        <f t="shared" si="5"/>
        <v>0</v>
      </c>
      <c r="EF12" s="18">
        <v>4</v>
      </c>
      <c r="EG12" s="18">
        <f t="shared" si="8"/>
        <v>0</v>
      </c>
      <c r="EH12" s="18"/>
      <c r="EI12" s="18" t="b">
        <f t="shared" si="6"/>
        <v>0</v>
      </c>
      <c r="EJ12" s="18">
        <f t="shared" si="9"/>
        <v>0</v>
      </c>
      <c r="EK12" s="269"/>
      <c r="EM12" s="268"/>
      <c r="EN12" s="18"/>
      <c r="EO12" s="18" t="b">
        <f>AND(EO4,OR(EO6=EQ6,EO6=EQ7))</f>
        <v>0</v>
      </c>
      <c r="EP12" s="18"/>
      <c r="EQ12" s="270" t="s">
        <v>681</v>
      </c>
      <c r="ER12" s="269"/>
      <c r="ET12" s="268"/>
      <c r="EU12" s="33" t="b">
        <f>AND(EV3,EV4=FALSE)</f>
        <v>0</v>
      </c>
      <c r="EV12" s="18"/>
      <c r="EW12" s="269"/>
    </row>
    <row r="13" spans="1:153" ht="16.5" customHeight="1" thickBot="1">
      <c r="A13" s="106"/>
      <c r="B13" s="106"/>
      <c r="C13" s="108" t="str">
        <f>BG7</f>
        <v>Zpoždění podpěťové cívky</v>
      </c>
      <c r="D13" s="245" t="s">
        <v>3732</v>
      </c>
      <c r="E13" s="106"/>
      <c r="F13" s="106"/>
      <c r="G13" s="108" t="str">
        <f>IF(BN16,"Jen jednu možnost!","Uzamčení v poloze VYP visacím zámkem")</f>
        <v>Uzamčení v poloze VYP visacím zámkem</v>
      </c>
      <c r="H13" s="106"/>
      <c r="I13" s="110"/>
      <c r="J13" s="26">
        <f t="shared" si="3"/>
      </c>
      <c r="K13" s="26">
        <f t="shared" si="4"/>
      </c>
      <c r="L13" s="122">
        <f aca="true" t="shared" si="11" ref="L13:L26">IF($F$24="a",C52,"")</f>
      </c>
      <c r="M13" s="106"/>
      <c r="N13" s="106"/>
      <c r="Q13" s="2" t="s">
        <v>3486</v>
      </c>
      <c r="R13" s="256"/>
      <c r="S13" s="256"/>
      <c r="T13" s="1"/>
      <c r="U13" s="1"/>
      <c r="V13" s="235">
        <f>IF(U12,"5/5","")</f>
      </c>
      <c r="W13" s="1"/>
      <c r="X13" s="1"/>
      <c r="Y13" s="1"/>
      <c r="Z13" s="1"/>
      <c r="AA13" s="322"/>
      <c r="AB13" s="212" t="s">
        <v>3881</v>
      </c>
      <c r="AC13" s="18" t="s">
        <v>3882</v>
      </c>
      <c r="AD13" s="18" t="b">
        <f>AND(AD5,AD6,AD8)</f>
        <v>0</v>
      </c>
      <c r="AE13" s="18">
        <v>4</v>
      </c>
      <c r="AF13" s="18">
        <f t="shared" si="7"/>
        <v>0</v>
      </c>
      <c r="AG13" s="269"/>
      <c r="AI13" s="2">
        <v>2</v>
      </c>
      <c r="AJ13" s="2">
        <v>4</v>
      </c>
      <c r="AK13" s="2">
        <v>55</v>
      </c>
      <c r="AL13" s="2" t="s">
        <v>4997</v>
      </c>
      <c r="AN13" s="138" t="s">
        <v>3372</v>
      </c>
      <c r="AO13" s="3"/>
      <c r="AU13" s="2">
        <v>1</v>
      </c>
      <c r="AV13" s="27">
        <v>2</v>
      </c>
      <c r="AW13" s="27">
        <v>65</v>
      </c>
      <c r="AX13" s="29" t="s">
        <v>4997</v>
      </c>
      <c r="AY13" s="31" t="s">
        <v>4998</v>
      </c>
      <c r="AZ13" s="3" t="str">
        <f t="shared" si="0"/>
        <v>VR-FL</v>
      </c>
      <c r="BA13" s="3"/>
      <c r="BB13" s="29">
        <v>2</v>
      </c>
      <c r="BC13" s="29" t="s">
        <v>4999</v>
      </c>
      <c r="BG13" s="15" t="s">
        <v>3392</v>
      </c>
      <c r="BH13" t="s">
        <v>678</v>
      </c>
      <c r="BI13" s="11"/>
      <c r="BJ13" s="11"/>
      <c r="BK13" s="11"/>
      <c r="BL13" s="11"/>
      <c r="BM13" s="11" t="b">
        <v>0</v>
      </c>
      <c r="BN13" s="11">
        <v>1</v>
      </c>
      <c r="BO13" s="12" t="b">
        <f>AND(BM13,V6="Výsuvné")</f>
        <v>0</v>
      </c>
      <c r="BP13" s="11">
        <f>BX72</f>
        <v>1</v>
      </c>
      <c r="BQ13" s="11">
        <f>IF(BO13,BP13,12)</f>
        <v>12</v>
      </c>
      <c r="BR13" s="11" t="b">
        <f>AND(BM13,V6="Pevné")</f>
        <v>0</v>
      </c>
      <c r="BS13" s="11"/>
      <c r="BZ13" s="11"/>
      <c r="CA13" s="11"/>
      <c r="CC13" s="27" t="str">
        <f>IF($BW$5,BW$9,BW$10)</f>
        <v>-</v>
      </c>
      <c r="CD13" s="27" t="str">
        <f>IF($BW$5,BX$9,BX$10)</f>
        <v>-</v>
      </c>
      <c r="CE13" s="263" t="str">
        <f>IF($BW$5,BY$9,BY$10)</f>
        <v>-</v>
      </c>
      <c r="CF13" s="27" t="str">
        <f>IF($BW$5,BZ$9,BZ$10)</f>
        <v>-</v>
      </c>
      <c r="CG13" s="27" t="s">
        <v>2113</v>
      </c>
      <c r="CH13" s="15">
        <f t="shared" si="1"/>
        <v>1</v>
      </c>
      <c r="CK13" s="2">
        <f t="shared" si="2"/>
      </c>
      <c r="CQ13" s="268"/>
      <c r="CR13" s="18"/>
      <c r="CS13" s="18" t="b">
        <f>AND(CS5,CS3=CT5,CS4=CT8)</f>
        <v>0</v>
      </c>
      <c r="CT13" s="18">
        <v>4</v>
      </c>
      <c r="CU13" s="18">
        <f>IF(CS13,CT13,0)</f>
        <v>0</v>
      </c>
      <c r="CV13" s="269"/>
      <c r="CX13" s="268"/>
      <c r="CY13" s="270"/>
      <c r="CZ13" s="308" t="b">
        <f>AND(CZ3,CZ4=DA4)</f>
        <v>0</v>
      </c>
      <c r="DA13" s="270">
        <f>IF($V$5=3,$CY$8+5,$CY$8+15)</f>
        <v>6</v>
      </c>
      <c r="DB13" s="270">
        <f t="shared" si="10"/>
        <v>0</v>
      </c>
      <c r="DC13" s="309"/>
      <c r="DH13" s="239" t="str">
        <f>IF(DH9,DH10,DH12)</f>
        <v>Mechanická signalizace vypnutí spouští</v>
      </c>
      <c r="DL13" s="2" t="s">
        <v>5010</v>
      </c>
      <c r="DM13" s="2">
        <v>4</v>
      </c>
      <c r="DN13" s="2">
        <v>4</v>
      </c>
      <c r="DS13" s="19"/>
      <c r="DZ13" s="268"/>
      <c r="EA13" s="18" t="s">
        <v>3897</v>
      </c>
      <c r="EB13" s="18" t="s">
        <v>4997</v>
      </c>
      <c r="EC13" s="18">
        <v>65</v>
      </c>
      <c r="ED13" s="18">
        <v>2000</v>
      </c>
      <c r="EE13" s="18" t="b">
        <f t="shared" si="5"/>
        <v>0</v>
      </c>
      <c r="EF13" s="18">
        <v>5</v>
      </c>
      <c r="EG13" s="18">
        <f t="shared" si="8"/>
        <v>0</v>
      </c>
      <c r="EH13" s="18"/>
      <c r="EI13" s="18" t="b">
        <f t="shared" si="6"/>
        <v>0</v>
      </c>
      <c r="EJ13" s="18">
        <f t="shared" si="9"/>
        <v>0</v>
      </c>
      <c r="EK13" s="269"/>
      <c r="EM13" s="268"/>
      <c r="EN13" s="18"/>
      <c r="EO13" s="33" t="b">
        <f>OR(AND(EO3,EO4=FALSE),AND(EO3,EO4,EO6="PR111"))</f>
        <v>0</v>
      </c>
      <c r="EP13" s="18"/>
      <c r="EQ13" s="18" t="s">
        <v>675</v>
      </c>
      <c r="ER13" s="269"/>
      <c r="ET13" s="268"/>
      <c r="EU13" s="18" t="str">
        <f>IF(EV4,EU10,"")</f>
        <v>Zaplombování spouště</v>
      </c>
      <c r="EV13" s="18"/>
      <c r="EW13" s="269"/>
    </row>
    <row r="14" spans="1:153" ht="16.5" customHeight="1">
      <c r="A14" s="106"/>
      <c r="B14" s="106"/>
      <c r="C14" s="108" t="str">
        <f>IF(BS7,"Pouze s cívkou YU!","Signalizace napájení YU")</f>
        <v>Signalizace napájení YU</v>
      </c>
      <c r="D14" s="106"/>
      <c r="E14" s="106"/>
      <c r="F14" s="106"/>
      <c r="G14" s="108" t="str">
        <f>IF(BN17,"Jen jednu možnost!","Kryt ovládacích tlačítek")</f>
        <v>Kryt ovládacích tlačítek</v>
      </c>
      <c r="H14" s="106"/>
      <c r="I14" s="110"/>
      <c r="J14" s="26">
        <f t="shared" si="3"/>
      </c>
      <c r="K14" s="26">
        <f t="shared" si="4"/>
      </c>
      <c r="L14" s="122">
        <f t="shared" si="11"/>
      </c>
      <c r="M14" s="106"/>
      <c r="N14" s="106"/>
      <c r="O14" s="6"/>
      <c r="R14" s="256"/>
      <c r="S14" s="256"/>
      <c r="T14" s="1"/>
      <c r="U14" s="1"/>
      <c r="V14" s="1">
        <v>1</v>
      </c>
      <c r="W14" s="1">
        <f>IF(BM11,1+V14,4)</f>
        <v>4</v>
      </c>
      <c r="X14" s="1"/>
      <c r="Y14" s="1"/>
      <c r="Z14" s="1"/>
      <c r="AA14" s="322"/>
      <c r="AB14" s="212" t="s">
        <v>3881</v>
      </c>
      <c r="AC14" s="18" t="s">
        <v>3883</v>
      </c>
      <c r="AD14" s="18" t="b">
        <f>AND(AD5,AD7,AD8)</f>
        <v>0</v>
      </c>
      <c r="AE14" s="18">
        <v>5</v>
      </c>
      <c r="AF14" s="18">
        <f t="shared" si="7"/>
        <v>0</v>
      </c>
      <c r="AG14" s="269"/>
      <c r="AI14" s="2">
        <v>2</v>
      </c>
      <c r="AJ14" s="2">
        <v>4</v>
      </c>
      <c r="AK14" s="2">
        <v>75</v>
      </c>
      <c r="AL14" s="2" t="s">
        <v>5000</v>
      </c>
      <c r="AN14" s="138" t="s">
        <v>3369</v>
      </c>
      <c r="AO14" s="3"/>
      <c r="AU14" s="2">
        <v>1</v>
      </c>
      <c r="AV14" s="27">
        <v>2</v>
      </c>
      <c r="AW14" s="27">
        <v>75</v>
      </c>
      <c r="AX14" s="29" t="s">
        <v>5000</v>
      </c>
      <c r="AY14" s="31" t="s">
        <v>5001</v>
      </c>
      <c r="AZ14" s="3" t="str">
        <f t="shared" si="0"/>
        <v>F-HR</v>
      </c>
      <c r="BA14" s="3"/>
      <c r="BB14" s="29">
        <v>3</v>
      </c>
      <c r="BC14" s="29" t="s">
        <v>4999</v>
      </c>
      <c r="BG14" s="15" t="s">
        <v>3393</v>
      </c>
      <c r="BH14" t="s">
        <v>679</v>
      </c>
      <c r="BI14" s="11"/>
      <c r="BJ14" s="11"/>
      <c r="BK14" s="11"/>
      <c r="BL14" s="11"/>
      <c r="BM14" s="11" t="b">
        <v>0</v>
      </c>
      <c r="BN14" s="11">
        <f>IF(BM14,1,2)</f>
        <v>2</v>
      </c>
      <c r="BO14" s="12"/>
      <c r="BP14" s="11"/>
      <c r="BQ14" s="11"/>
      <c r="BR14" s="11"/>
      <c r="BS14" s="11"/>
      <c r="BZ14" s="11"/>
      <c r="CA14" s="11"/>
      <c r="CC14" s="15" t="str">
        <f>CHOOSE(BO6,BF85,BF85,BF86,BF87,BF88,BF88,BF89,BF89,"-","-","-")</f>
        <v>-</v>
      </c>
      <c r="CD14" s="15" t="str">
        <f>CHOOSE(BO6,BG85,BG85,BG86,BG87,BG88,BG88,BG89,BG89,"-","-","-")</f>
        <v>-</v>
      </c>
      <c r="CE14" s="135" t="str">
        <f>CHOOSE(BO6,BH85,BH85,BH86,BH87,BH88,BH88,BH89,BH89,"-","-","-")</f>
        <v>-</v>
      </c>
      <c r="CF14" s="15" t="str">
        <f>CHOOSE(BO6,BK85,BK85,BK86,BK87,BK88,BK88,BK89,BK89,"-","-","-")</f>
        <v>-</v>
      </c>
      <c r="CG14" s="27" t="s">
        <v>2114</v>
      </c>
      <c r="CH14" s="15">
        <f t="shared" si="1"/>
        <v>1</v>
      </c>
      <c r="CK14" s="2">
        <f t="shared" si="2"/>
      </c>
      <c r="CQ14" s="268"/>
      <c r="CR14" s="18"/>
      <c r="CS14" s="18" t="b">
        <f>AND(CS5,CS3=CT6,CS4=CT8)</f>
        <v>0</v>
      </c>
      <c r="CT14" s="18">
        <v>5</v>
      </c>
      <c r="CU14" s="18">
        <f>IF(CS14,CT14,0)</f>
        <v>0</v>
      </c>
      <c r="CV14" s="269"/>
      <c r="CX14" s="268"/>
      <c r="CY14" s="310" t="s">
        <v>2180</v>
      </c>
      <c r="CZ14" s="308" t="b">
        <f>AND(CZ3,CZ4=DA5)</f>
        <v>0</v>
      </c>
      <c r="DA14" s="270">
        <v>21</v>
      </c>
      <c r="DB14" s="270">
        <f t="shared" si="10"/>
        <v>0</v>
      </c>
      <c r="DC14" s="309"/>
      <c r="DL14" s="2" t="s">
        <v>5012</v>
      </c>
      <c r="DM14" s="2">
        <v>3</v>
      </c>
      <c r="DN14" s="2">
        <v>4</v>
      </c>
      <c r="DP14" s="27"/>
      <c r="DQ14" s="2">
        <f>IF(DQ5,DS14,"")</f>
      </c>
      <c r="DS14" s="2" t="s">
        <v>3456</v>
      </c>
      <c r="DZ14" s="268"/>
      <c r="EA14" s="18" t="s">
        <v>3901</v>
      </c>
      <c r="EB14" s="18" t="s">
        <v>5000</v>
      </c>
      <c r="EC14" s="18">
        <v>100</v>
      </c>
      <c r="ED14" s="18">
        <v>1250</v>
      </c>
      <c r="EE14" s="18" t="b">
        <f t="shared" si="5"/>
        <v>0</v>
      </c>
      <c r="EF14" s="18">
        <v>6</v>
      </c>
      <c r="EG14" s="18">
        <f t="shared" si="8"/>
        <v>0</v>
      </c>
      <c r="EH14" s="18"/>
      <c r="EI14" s="18" t="b">
        <f t="shared" si="6"/>
        <v>0</v>
      </c>
      <c r="EJ14" s="18">
        <f t="shared" si="9"/>
        <v>0</v>
      </c>
      <c r="EK14" s="269"/>
      <c r="EM14" s="268"/>
      <c r="EN14" s="18"/>
      <c r="EO14" s="18"/>
      <c r="EP14" s="18"/>
      <c r="EQ14" s="18"/>
      <c r="ER14" s="269"/>
      <c r="ET14" s="268"/>
      <c r="EU14" s="33" t="str">
        <f>IF(EU12,EU11,EU13)</f>
        <v>Zaplombování spouště</v>
      </c>
      <c r="EV14" s="18"/>
      <c r="EW14" s="269"/>
    </row>
    <row r="15" spans="1:153" ht="16.5" customHeight="1">
      <c r="A15" s="106"/>
      <c r="B15" s="106"/>
      <c r="C15" s="108" t="s">
        <v>4614</v>
      </c>
      <c r="D15" s="106"/>
      <c r="E15" s="106"/>
      <c r="F15" s="106"/>
      <c r="G15" s="108" t="str">
        <f>IF(BQ18,"Blok. poloh - Jen výsuvné!","Blokování v pol. zas./vys./test")</f>
        <v>Blokování v pol. zas./vys./test</v>
      </c>
      <c r="H15" s="106"/>
      <c r="I15" s="110"/>
      <c r="J15" s="26">
        <f t="shared" si="3"/>
      </c>
      <c r="K15" s="26">
        <f t="shared" si="4"/>
      </c>
      <c r="L15" s="122">
        <f t="shared" si="11"/>
      </c>
      <c r="M15" s="106"/>
      <c r="N15" s="106"/>
      <c r="R15" s="256"/>
      <c r="S15" s="256"/>
      <c r="T15" s="1"/>
      <c r="U15" s="1"/>
      <c r="V15" s="1"/>
      <c r="W15" s="1"/>
      <c r="X15" s="1"/>
      <c r="Y15" s="1"/>
      <c r="Z15" s="1"/>
      <c r="AA15" s="322"/>
      <c r="AB15" s="212" t="s">
        <v>3084</v>
      </c>
      <c r="AC15" s="18" t="s">
        <v>3882</v>
      </c>
      <c r="AD15" s="18" t="b">
        <f>OR(AND(AD4,AD8,AD6),AND(AD4,AD8,AD7,AD9=FALSE))</f>
        <v>0</v>
      </c>
      <c r="AE15" s="18">
        <v>6</v>
      </c>
      <c r="AF15" s="18">
        <f t="shared" si="7"/>
        <v>0</v>
      </c>
      <c r="AG15" s="269"/>
      <c r="AI15" s="2">
        <v>2</v>
      </c>
      <c r="AJ15" s="2">
        <v>5</v>
      </c>
      <c r="AK15" s="2">
        <v>65</v>
      </c>
      <c r="AL15" s="2" t="s">
        <v>5000</v>
      </c>
      <c r="AN15" s="138" t="s">
        <v>3370</v>
      </c>
      <c r="AO15" s="3"/>
      <c r="AU15" s="2">
        <v>1</v>
      </c>
      <c r="AV15" s="27">
        <v>2</v>
      </c>
      <c r="AW15" s="27">
        <v>100</v>
      </c>
      <c r="AX15" s="29" t="s">
        <v>5000</v>
      </c>
      <c r="AY15" s="31" t="s">
        <v>5002</v>
      </c>
      <c r="AZ15" s="3" t="str">
        <f t="shared" si="0"/>
        <v>F-VR</v>
      </c>
      <c r="BA15" s="3">
        <v>1</v>
      </c>
      <c r="BB15" s="29">
        <v>4</v>
      </c>
      <c r="BC15" s="29" t="s">
        <v>4996</v>
      </c>
      <c r="BG15"/>
      <c r="BH15" t="s">
        <v>680</v>
      </c>
      <c r="BI15" s="11"/>
      <c r="BJ15" s="11"/>
      <c r="BK15" s="11"/>
      <c r="BL15" s="11"/>
      <c r="BM15" s="11" t="b">
        <v>0</v>
      </c>
      <c r="BN15" s="11">
        <v>2</v>
      </c>
      <c r="BO15" s="12">
        <f>IF(BM15,BN15,6)</f>
        <v>6</v>
      </c>
      <c r="BP15" s="11"/>
      <c r="BQ15" s="11"/>
      <c r="BR15" s="11"/>
      <c r="BS15" s="11"/>
      <c r="BZ15" s="11"/>
      <c r="CA15" s="11"/>
      <c r="CC15" s="15" t="str">
        <f>CHOOSE(BP7,BF105,BF106,"-")</f>
        <v>-</v>
      </c>
      <c r="CD15" s="15" t="str">
        <f>CHOOSE(BP7,BG105,BG106,"-")</f>
        <v>-</v>
      </c>
      <c r="CE15" s="135" t="str">
        <f>CHOOSE(BP7,BH105,BH106,"-")</f>
        <v>-</v>
      </c>
      <c r="CF15" s="15" t="str">
        <f>CHOOSE(BP7,BK105,BK106,"-")</f>
        <v>-</v>
      </c>
      <c r="CG15" s="27" t="s">
        <v>2113</v>
      </c>
      <c r="CH15" s="15">
        <f t="shared" si="1"/>
        <v>1</v>
      </c>
      <c r="CK15" s="2">
        <f t="shared" si="2"/>
      </c>
      <c r="CQ15" s="268"/>
      <c r="CR15" s="18"/>
      <c r="CS15" s="18"/>
      <c r="CT15" s="18"/>
      <c r="CU15" s="18">
        <f>SUM(CU10:CU14)</f>
        <v>0</v>
      </c>
      <c r="CV15" s="269"/>
      <c r="CX15" s="268"/>
      <c r="CY15" s="310" t="s">
        <v>2180</v>
      </c>
      <c r="CZ15" s="308" t="b">
        <f>AND(CZ3,CZ4=DA6)</f>
        <v>0</v>
      </c>
      <c r="DA15" s="270">
        <v>21</v>
      </c>
      <c r="DB15" s="270">
        <f t="shared" si="10"/>
        <v>0</v>
      </c>
      <c r="DC15" s="309"/>
      <c r="DL15" s="2" t="s">
        <v>5012</v>
      </c>
      <c r="DM15" s="2">
        <v>4</v>
      </c>
      <c r="DN15" s="2">
        <v>5</v>
      </c>
      <c r="DQ15" s="43">
        <f>IF(DQ5,DS15,"")</f>
      </c>
      <c r="DS15" s="2" t="s">
        <v>3457</v>
      </c>
      <c r="DZ15" s="268"/>
      <c r="EA15" s="18" t="s">
        <v>3899</v>
      </c>
      <c r="EB15" s="18" t="s">
        <v>5000</v>
      </c>
      <c r="EC15" s="18">
        <v>100</v>
      </c>
      <c r="ED15" s="18">
        <v>1600</v>
      </c>
      <c r="EE15" s="18" t="b">
        <f t="shared" si="5"/>
        <v>0</v>
      </c>
      <c r="EF15" s="18">
        <v>7</v>
      </c>
      <c r="EG15" s="18">
        <f t="shared" si="8"/>
        <v>0</v>
      </c>
      <c r="EH15" s="18"/>
      <c r="EI15" s="18" t="b">
        <f t="shared" si="6"/>
        <v>0</v>
      </c>
      <c r="EJ15" s="18">
        <f t="shared" si="9"/>
        <v>0</v>
      </c>
      <c r="EK15" s="269"/>
      <c r="EM15" s="268"/>
      <c r="EN15" s="18"/>
      <c r="EO15" s="18">
        <f>IF(EO12,EQ12,"")</f>
      </c>
      <c r="EP15" s="18"/>
      <c r="EQ15" s="18"/>
      <c r="ER15" s="269"/>
      <c r="ET15" s="268"/>
      <c r="EU15" s="18"/>
      <c r="EV15" s="18"/>
      <c r="EW15" s="269"/>
    </row>
    <row r="16" spans="1:153" ht="16.5" customHeight="1">
      <c r="A16" s="106"/>
      <c r="B16" s="106"/>
      <c r="C16" s="108" t="str">
        <f>DH13</f>
        <v>Mechanická signalizace vypnutí spouští</v>
      </c>
      <c r="D16" s="106"/>
      <c r="E16" s="106"/>
      <c r="F16" s="106"/>
      <c r="G16" s="108" t="str">
        <f>IF(BP19,"Jen s položkou výše!","Zablokování pouze v test. a vys. pol.")</f>
        <v>Zablokování pouze v test. a vys. pol.</v>
      </c>
      <c r="H16" s="106"/>
      <c r="I16" s="110"/>
      <c r="J16" s="26">
        <f t="shared" si="3"/>
      </c>
      <c r="K16" s="26">
        <f t="shared" si="4"/>
      </c>
      <c r="L16" s="122">
        <f t="shared" si="11"/>
      </c>
      <c r="M16" s="106"/>
      <c r="N16" s="106"/>
      <c r="Q16" s="2" t="s">
        <v>3487</v>
      </c>
      <c r="R16" s="256"/>
      <c r="S16" s="256" t="str">
        <f>IF(Q10=1,Q16,Q17)</f>
        <v>Zadej Icu!</v>
      </c>
      <c r="T16" s="1"/>
      <c r="U16" s="1"/>
      <c r="V16" s="231" t="s">
        <v>676</v>
      </c>
      <c r="W16" s="1"/>
      <c r="X16" s="1"/>
      <c r="Y16" s="1"/>
      <c r="Z16" s="1"/>
      <c r="AA16" s="322"/>
      <c r="AB16" s="212" t="s">
        <v>3084</v>
      </c>
      <c r="AC16" s="18" t="s">
        <v>3883</v>
      </c>
      <c r="AD16" s="18" t="b">
        <f>AND(AD4,AD8,AD7,AD9)</f>
        <v>0</v>
      </c>
      <c r="AE16" s="18">
        <v>7</v>
      </c>
      <c r="AF16" s="18">
        <f t="shared" si="7"/>
        <v>0</v>
      </c>
      <c r="AG16" s="269"/>
      <c r="AI16" s="2">
        <v>2</v>
      </c>
      <c r="AJ16" s="2">
        <v>5</v>
      </c>
      <c r="AK16" s="2">
        <v>75</v>
      </c>
      <c r="AL16" s="2" t="s">
        <v>5000</v>
      </c>
      <c r="AN16" s="138" t="s">
        <v>3373</v>
      </c>
      <c r="AO16" s="3"/>
      <c r="AU16" s="2">
        <v>1</v>
      </c>
      <c r="AV16" s="27">
        <v>2</v>
      </c>
      <c r="AW16" s="27" t="s">
        <v>5004</v>
      </c>
      <c r="AX16" s="29" t="s">
        <v>4997</v>
      </c>
      <c r="AY16" s="31" t="s">
        <v>5005</v>
      </c>
      <c r="AZ16" s="3" t="str">
        <f t="shared" si="0"/>
        <v>F-FL</v>
      </c>
      <c r="BA16" s="3"/>
      <c r="BB16" s="29">
        <v>4</v>
      </c>
      <c r="BC16" s="29" t="s">
        <v>4999</v>
      </c>
      <c r="BG16" s="14"/>
      <c r="BH16"/>
      <c r="BI16" s="11"/>
      <c r="BJ16" s="11"/>
      <c r="BK16" s="11"/>
      <c r="BL16" s="11"/>
      <c r="BM16" s="11" t="b">
        <v>0</v>
      </c>
      <c r="BN16" s="11" t="b">
        <f>AND(BM16,BM17)</f>
        <v>0</v>
      </c>
      <c r="BO16" s="12" t="b">
        <f>AND(BM16,BN16=FALSE)</f>
        <v>0</v>
      </c>
      <c r="BP16" s="11">
        <f>IF(BO16,1,2)</f>
        <v>2</v>
      </c>
      <c r="BQ16" s="11"/>
      <c r="BR16" s="11"/>
      <c r="BS16" s="11"/>
      <c r="CA16" s="11"/>
      <c r="CB16" s="11"/>
      <c r="CC16" s="15" t="str">
        <f>CHOOSE(BO8,BF90,BF91,BF92,BF93,"-")</f>
        <v>-</v>
      </c>
      <c r="CD16" s="15" t="str">
        <f>CHOOSE(BO8,BG90,BG91,BG92,BG93,"-")</f>
        <v>-</v>
      </c>
      <c r="CE16" s="135" t="str">
        <f>CHOOSE(BO8,BH90,BH91,BH92,BH93,"-")</f>
        <v>-</v>
      </c>
      <c r="CF16" s="15" t="str">
        <f>CHOOSE(BO8,BK90,BK91,BK92,BK93,"-")</f>
        <v>-</v>
      </c>
      <c r="CG16" s="27" t="s">
        <v>2113</v>
      </c>
      <c r="CH16" s="15">
        <f t="shared" si="1"/>
        <v>1</v>
      </c>
      <c r="CK16" s="2">
        <f t="shared" si="2"/>
      </c>
      <c r="CQ16" s="268"/>
      <c r="CR16" s="18"/>
      <c r="CS16" s="18"/>
      <c r="CT16" s="18"/>
      <c r="CU16" s="33">
        <f>IF(CU15=0,6,CU15)</f>
        <v>6</v>
      </c>
      <c r="CV16" s="269"/>
      <c r="CX16" s="268"/>
      <c r="CY16" s="270"/>
      <c r="CZ16" s="308" t="b">
        <f>AND(CZ3,CZ4=DA7)</f>
        <v>0</v>
      </c>
      <c r="DA16" s="270">
        <f>IF($V$5=3,$CY$8+0,$CY$8+10)</f>
        <v>1</v>
      </c>
      <c r="DB16" s="270">
        <f t="shared" si="10"/>
        <v>0</v>
      </c>
      <c r="DC16" s="309"/>
      <c r="DH16" s="27" t="b">
        <f>OR(BO10,Q10=2)</f>
        <v>0</v>
      </c>
      <c r="DQ16" s="27"/>
      <c r="DZ16" s="268"/>
      <c r="EA16" s="18" t="s">
        <v>3900</v>
      </c>
      <c r="EB16" s="18" t="s">
        <v>5000</v>
      </c>
      <c r="EC16" s="18">
        <v>100</v>
      </c>
      <c r="ED16" s="18">
        <v>2000</v>
      </c>
      <c r="EE16" s="18" t="b">
        <f t="shared" si="5"/>
        <v>0</v>
      </c>
      <c r="EF16" s="18">
        <v>8</v>
      </c>
      <c r="EG16" s="18">
        <f t="shared" si="8"/>
        <v>0</v>
      </c>
      <c r="EH16" s="18"/>
      <c r="EI16" s="18" t="b">
        <f t="shared" si="6"/>
        <v>0</v>
      </c>
      <c r="EJ16" s="18">
        <f t="shared" si="9"/>
        <v>0</v>
      </c>
      <c r="EK16" s="269"/>
      <c r="EM16" s="268"/>
      <c r="EN16" s="18"/>
      <c r="EO16" s="33">
        <f>IF(EO13,EQ13,EO15)</f>
      </c>
      <c r="EP16" s="18"/>
      <c r="EQ16" s="18"/>
      <c r="ER16" s="269"/>
      <c r="ET16" s="268"/>
      <c r="EU16" s="18"/>
      <c r="EV16" s="18"/>
      <c r="EW16" s="269"/>
    </row>
    <row r="17" spans="1:153" ht="16.5" customHeight="1" thickBot="1">
      <c r="A17" s="106"/>
      <c r="B17" s="106"/>
      <c r="C17" s="108" t="str">
        <f>DH21</f>
        <v>Elektrická signalizace vypnutí spouští"</v>
      </c>
      <c r="D17" s="106"/>
      <c r="E17" s="106"/>
      <c r="F17" s="106"/>
      <c r="G17" s="108" t="str">
        <f>IF(BO20,"Blok. clon - Jen výsuvné!","Blokování clon pevné části")</f>
        <v>Blokování clon pevné části</v>
      </c>
      <c r="H17" s="106"/>
      <c r="I17" s="110"/>
      <c r="J17" s="26">
        <f t="shared" si="3"/>
      </c>
      <c r="K17" s="26">
        <f t="shared" si="4"/>
      </c>
      <c r="L17" s="122">
        <f t="shared" si="11"/>
      </c>
      <c r="M17" s="106"/>
      <c r="N17" s="106"/>
      <c r="P17" s="7"/>
      <c r="Q17" s="2" t="s">
        <v>3488</v>
      </c>
      <c r="R17" s="256"/>
      <c r="S17" s="256"/>
      <c r="T17" s="1"/>
      <c r="U17" s="1"/>
      <c r="V17" s="231" t="s">
        <v>1114</v>
      </c>
      <c r="W17" s="1"/>
      <c r="X17" s="1"/>
      <c r="Y17" s="1"/>
      <c r="Z17" s="1"/>
      <c r="AA17" s="322"/>
      <c r="AB17" s="212"/>
      <c r="AC17" s="18"/>
      <c r="AD17" s="18"/>
      <c r="AE17" s="18"/>
      <c r="AF17" s="18">
        <f>SUM(AF10:AF16)</f>
        <v>0</v>
      </c>
      <c r="AG17" s="269"/>
      <c r="AI17" s="2">
        <v>2</v>
      </c>
      <c r="AJ17" s="2">
        <v>6</v>
      </c>
      <c r="AK17" s="2">
        <v>65</v>
      </c>
      <c r="AL17" s="2" t="s">
        <v>5000</v>
      </c>
      <c r="AN17" s="138" t="s">
        <v>3374</v>
      </c>
      <c r="AO17" s="3"/>
      <c r="AU17" s="2">
        <v>1</v>
      </c>
      <c r="AV17" s="27">
        <v>3</v>
      </c>
      <c r="AW17" s="27">
        <v>42</v>
      </c>
      <c r="AX17" s="29" t="s">
        <v>4997</v>
      </c>
      <c r="AY17" s="31" t="s">
        <v>2794</v>
      </c>
      <c r="AZ17" s="3" t="str">
        <f t="shared" si="0"/>
        <v>FL-HR</v>
      </c>
      <c r="BA17" s="3"/>
      <c r="BB17" s="29">
        <v>5</v>
      </c>
      <c r="BC17" s="29" t="s">
        <v>4996</v>
      </c>
      <c r="BG17" s="14"/>
      <c r="BH17"/>
      <c r="BI17" s="11"/>
      <c r="BJ17" s="11"/>
      <c r="BK17" s="11"/>
      <c r="BL17" s="11"/>
      <c r="BM17" s="11" t="b">
        <v>0</v>
      </c>
      <c r="BN17" s="11" t="b">
        <f>AND(BM17,BM16)</f>
        <v>0</v>
      </c>
      <c r="BO17" s="12" t="b">
        <f>AND(BM17,BN17=FALSE)</f>
        <v>0</v>
      </c>
      <c r="BP17" s="11">
        <f>IF(BO17,1,2)</f>
        <v>2</v>
      </c>
      <c r="BQ17" s="11"/>
      <c r="BR17" s="11"/>
      <c r="BS17" s="11"/>
      <c r="BZ17" s="11" t="b">
        <f>NOT(BQ12)</f>
        <v>0</v>
      </c>
      <c r="CA17" s="11" t="b">
        <f>AND(BZ17,V6="pevné")</f>
        <v>0</v>
      </c>
      <c r="CB17" s="2">
        <f>IF(CA17,1,2)</f>
        <v>2</v>
      </c>
      <c r="CC17" s="15" t="str">
        <f>CHOOSE(BO9,BF94,"-")</f>
        <v>-</v>
      </c>
      <c r="CD17" s="15" t="str">
        <f>CHOOSE(BO9,BG94,"-")</f>
        <v>-</v>
      </c>
      <c r="CE17" s="135" t="str">
        <f>CHOOSE(BO9,BH94,"-")</f>
        <v>-</v>
      </c>
      <c r="CF17" s="15" t="str">
        <f>CHOOSE(BO9,BK94,"-")</f>
        <v>-</v>
      </c>
      <c r="CG17" s="27" t="s">
        <v>2113</v>
      </c>
      <c r="CH17" s="15">
        <f t="shared" si="1"/>
        <v>1</v>
      </c>
      <c r="CK17" s="2">
        <f t="shared" si="2"/>
      </c>
      <c r="CQ17" s="271"/>
      <c r="CR17" s="272"/>
      <c r="CS17" s="272"/>
      <c r="CT17" s="272"/>
      <c r="CU17" s="272"/>
      <c r="CV17" s="273"/>
      <c r="CX17" s="268"/>
      <c r="CY17" s="270"/>
      <c r="CZ17" s="308" t="b">
        <f>AND(CZ3,CZ4=DA8)</f>
        <v>0</v>
      </c>
      <c r="DA17" s="270">
        <f>IF($V$5=3,$CY$8+0,$CY$8+10)</f>
        <v>1</v>
      </c>
      <c r="DB17" s="270">
        <f t="shared" si="10"/>
        <v>0</v>
      </c>
      <c r="DC17" s="309"/>
      <c r="DH17" s="2" t="s">
        <v>1329</v>
      </c>
      <c r="DL17" s="2" t="s">
        <v>2941</v>
      </c>
      <c r="DM17" s="2" t="s">
        <v>2942</v>
      </c>
      <c r="DN17" s="2" t="s">
        <v>2943</v>
      </c>
      <c r="DP17" s="27" t="s">
        <v>3455</v>
      </c>
      <c r="DQ17" s="43">
        <v>1</v>
      </c>
      <c r="DZ17" s="268"/>
      <c r="EA17" s="18" t="s">
        <v>3902</v>
      </c>
      <c r="EB17" s="18" t="s">
        <v>5000</v>
      </c>
      <c r="EC17" s="18">
        <v>100</v>
      </c>
      <c r="ED17" s="18">
        <v>2500</v>
      </c>
      <c r="EE17" s="18" t="b">
        <f t="shared" si="5"/>
        <v>0</v>
      </c>
      <c r="EF17" s="18">
        <v>9</v>
      </c>
      <c r="EG17" s="18">
        <f t="shared" si="8"/>
        <v>0</v>
      </c>
      <c r="EH17" s="18"/>
      <c r="EI17" s="18" t="b">
        <f t="shared" si="6"/>
        <v>0</v>
      </c>
      <c r="EJ17" s="18">
        <f t="shared" si="9"/>
        <v>0</v>
      </c>
      <c r="EK17" s="269"/>
      <c r="EM17" s="268"/>
      <c r="EN17" s="18"/>
      <c r="EO17" s="18"/>
      <c r="EP17" s="18"/>
      <c r="EQ17" s="18"/>
      <c r="ER17" s="269"/>
      <c r="ET17" s="268"/>
      <c r="EU17" s="18"/>
      <c r="EV17" s="18"/>
      <c r="EW17" s="269"/>
    </row>
    <row r="18" spans="1:153" ht="16.5" customHeight="1">
      <c r="A18" s="106"/>
      <c r="B18" s="106"/>
      <c r="C18" s="108" t="str">
        <f>V23</f>
        <v>Pomocné kontakty 5/5</v>
      </c>
      <c r="D18" s="248"/>
      <c r="E18" s="106"/>
      <c r="F18" s="106"/>
      <c r="G18" s="108" t="str">
        <f>DH5</f>
        <v>Blokování dveří rozvaděče</v>
      </c>
      <c r="H18" s="108"/>
      <c r="I18" s="110"/>
      <c r="J18" s="26">
        <f t="shared" si="3"/>
      </c>
      <c r="K18" s="26">
        <f t="shared" si="4"/>
      </c>
      <c r="L18" s="122">
        <f t="shared" si="11"/>
      </c>
      <c r="M18" s="106"/>
      <c r="N18" s="106"/>
      <c r="R18" s="256"/>
      <c r="S18" s="256"/>
      <c r="T18" s="1"/>
      <c r="U18" s="1"/>
      <c r="V18" s="236"/>
      <c r="W18" s="1"/>
      <c r="X18" s="1"/>
      <c r="Y18" s="1"/>
      <c r="Z18" s="1"/>
      <c r="AA18" s="322"/>
      <c r="AB18" s="212"/>
      <c r="AC18" s="18"/>
      <c r="AD18" s="18"/>
      <c r="AE18" s="18"/>
      <c r="AF18" s="33">
        <f>IF(AF17=0,8,AF17)</f>
        <v>8</v>
      </c>
      <c r="AG18" s="269"/>
      <c r="AI18" s="2">
        <v>2</v>
      </c>
      <c r="AJ18" s="2">
        <v>6</v>
      </c>
      <c r="AK18" s="2">
        <v>75</v>
      </c>
      <c r="AL18" s="2" t="s">
        <v>5000</v>
      </c>
      <c r="AN18" s="138" t="s">
        <v>3375</v>
      </c>
      <c r="AO18" s="3"/>
      <c r="AU18" s="2">
        <v>1</v>
      </c>
      <c r="AV18" s="27">
        <v>3</v>
      </c>
      <c r="AW18" s="27">
        <v>65</v>
      </c>
      <c r="AX18" s="29" t="s">
        <v>4997</v>
      </c>
      <c r="AY18" s="31" t="s">
        <v>4998</v>
      </c>
      <c r="AZ18" s="3" t="str">
        <f t="shared" si="0"/>
        <v>FL-VR</v>
      </c>
      <c r="BA18" s="3"/>
      <c r="BB18" s="29">
        <v>5</v>
      </c>
      <c r="BC18" s="29" t="s">
        <v>4999</v>
      </c>
      <c r="BG18"/>
      <c r="BH18"/>
      <c r="BI18" s="11" t="s">
        <v>4613</v>
      </c>
      <c r="BJ18" s="11"/>
      <c r="BK18" s="11"/>
      <c r="BL18" s="11"/>
      <c r="BM18" s="11" t="b">
        <v>0</v>
      </c>
      <c r="BN18" s="11" t="b">
        <f>AND(BM18,V6="Výsuvné")</f>
        <v>0</v>
      </c>
      <c r="BO18" s="12">
        <v>2</v>
      </c>
      <c r="BP18" s="11">
        <f>IF(BN18,BO18,6)</f>
        <v>6</v>
      </c>
      <c r="BQ18" s="11" t="b">
        <f>AND(BM18,V6="Pevné")</f>
        <v>0</v>
      </c>
      <c r="BR18" s="11"/>
      <c r="BS18" s="11"/>
      <c r="BZ18" s="11"/>
      <c r="CA18" s="11"/>
      <c r="CC18" s="15" t="str">
        <f>CHOOSE(BN10,BF95,"-")</f>
        <v>-</v>
      </c>
      <c r="CD18" s="15" t="str">
        <f>CHOOSE(BN10,BG95,"-")</f>
        <v>-</v>
      </c>
      <c r="CE18" s="135" t="str">
        <f>CHOOSE(BN10,BH95,"-")</f>
        <v>-</v>
      </c>
      <c r="CF18" s="15" t="str">
        <f>CHOOSE(BN10,BK95,"-")</f>
        <v>-</v>
      </c>
      <c r="CG18" s="27" t="s">
        <v>2113</v>
      </c>
      <c r="CH18" s="15">
        <f t="shared" si="1"/>
        <v>1</v>
      </c>
      <c r="CK18" s="2">
        <f t="shared" si="2"/>
      </c>
      <c r="CX18" s="268"/>
      <c r="CY18" s="270"/>
      <c r="CZ18" s="308" t="b">
        <f>AND(CZ3,CZ4=DA9)</f>
        <v>0</v>
      </c>
      <c r="DA18" s="270">
        <f>IF($V$5=3,$CY$8+5,$CY$8+15)</f>
        <v>6</v>
      </c>
      <c r="DB18" s="270">
        <f t="shared" si="10"/>
        <v>0</v>
      </c>
      <c r="DC18" s="309"/>
      <c r="DH18" s="2" t="s">
        <v>1328</v>
      </c>
      <c r="DL18" s="2" t="s">
        <v>4994</v>
      </c>
      <c r="DM18" s="2">
        <v>3</v>
      </c>
      <c r="DN18" s="2">
        <v>1</v>
      </c>
      <c r="DP18" s="27"/>
      <c r="DQ18" s="43">
        <f>CHOOSE(DQ17,DQ14,DQ15)</f>
      </c>
      <c r="DZ18" s="268"/>
      <c r="EA18" s="18" t="s">
        <v>3903</v>
      </c>
      <c r="EB18" s="18" t="s">
        <v>5000</v>
      </c>
      <c r="EC18" s="18">
        <v>100</v>
      </c>
      <c r="ED18" s="18">
        <v>3200</v>
      </c>
      <c r="EE18" s="18" t="b">
        <f t="shared" si="5"/>
        <v>0</v>
      </c>
      <c r="EF18" s="18">
        <v>10</v>
      </c>
      <c r="EG18" s="18">
        <f t="shared" si="8"/>
        <v>0</v>
      </c>
      <c r="EH18" s="18"/>
      <c r="EI18" s="18" t="b">
        <f t="shared" si="6"/>
        <v>0</v>
      </c>
      <c r="EJ18" s="18">
        <f t="shared" si="9"/>
        <v>0</v>
      </c>
      <c r="EK18" s="269"/>
      <c r="EM18" s="268"/>
      <c r="EN18" s="18"/>
      <c r="EO18" s="18"/>
      <c r="EP18" s="18"/>
      <c r="EQ18" s="18"/>
      <c r="ER18" s="269"/>
      <c r="ET18" s="268"/>
      <c r="EU18" s="18"/>
      <c r="EV18" s="18"/>
      <c r="EW18" s="269"/>
    </row>
    <row r="19" spans="1:153" ht="16.5" customHeight="1" thickBot="1">
      <c r="A19" s="106"/>
      <c r="B19" s="106"/>
      <c r="C19" s="108" t="str">
        <f>DH3</f>
        <v>15 ext. pom. kontaktů</v>
      </c>
      <c r="D19" s="108"/>
      <c r="E19" s="106"/>
      <c r="F19" s="106"/>
      <c r="G19" s="108" t="s">
        <v>440</v>
      </c>
      <c r="H19" s="106"/>
      <c r="I19" s="110"/>
      <c r="J19" s="26">
        <f t="shared" si="3"/>
      </c>
      <c r="K19" s="26">
        <f t="shared" si="4"/>
      </c>
      <c r="L19" s="122">
        <f t="shared" si="11"/>
      </c>
      <c r="M19" s="106"/>
      <c r="N19" s="106"/>
      <c r="O19" s="6"/>
      <c r="R19" s="256"/>
      <c r="S19" s="256"/>
      <c r="T19" s="1"/>
      <c r="U19" s="1"/>
      <c r="V19" s="43" t="str">
        <f>IF(BN11,V16,V17)</f>
        <v>Pomocné kontakty 5/5</v>
      </c>
      <c r="W19" s="1"/>
      <c r="X19" s="1"/>
      <c r="Y19" s="1"/>
      <c r="Z19" s="1"/>
      <c r="AA19" s="322"/>
      <c r="AB19" s="212"/>
      <c r="AC19" s="18"/>
      <c r="AD19" s="18"/>
      <c r="AE19" s="18"/>
      <c r="AF19" s="18"/>
      <c r="AG19" s="269"/>
      <c r="AI19" s="2">
        <v>2</v>
      </c>
      <c r="AJ19" s="2">
        <v>6</v>
      </c>
      <c r="AK19" s="2">
        <v>100</v>
      </c>
      <c r="AL19" s="2" t="s">
        <v>5010</v>
      </c>
      <c r="AN19" s="138" t="s">
        <v>2017</v>
      </c>
      <c r="AO19" s="3"/>
      <c r="AU19" s="2">
        <v>1</v>
      </c>
      <c r="AV19" s="27">
        <v>3</v>
      </c>
      <c r="AW19" s="27">
        <v>75</v>
      </c>
      <c r="AX19" s="29" t="s">
        <v>5000</v>
      </c>
      <c r="AY19" s="31" t="s">
        <v>5001</v>
      </c>
      <c r="AZ19" s="3" t="str">
        <f t="shared" si="0"/>
        <v>FL-F.</v>
      </c>
      <c r="BA19" s="3"/>
      <c r="BB19" s="29">
        <v>6</v>
      </c>
      <c r="BC19" s="29" t="s">
        <v>4999</v>
      </c>
      <c r="BG19" s="14"/>
      <c r="BH19"/>
      <c r="BI19" s="11" t="s">
        <v>3733</v>
      </c>
      <c r="BJ19" s="11"/>
      <c r="BK19" s="11"/>
      <c r="BL19" s="11"/>
      <c r="BM19" s="11" t="b">
        <v>0</v>
      </c>
      <c r="BN19" s="11" t="b">
        <f>AND(BM19,V6="Výsuvné")</f>
        <v>0</v>
      </c>
      <c r="BO19" s="12" t="b">
        <f>AND(BN19,BM18)</f>
        <v>0</v>
      </c>
      <c r="BP19" s="11" t="b">
        <f>AND(BM19,BM18=FALSE)</f>
        <v>0</v>
      </c>
      <c r="BQ19" s="11">
        <f>IF(BO19,1,2)</f>
        <v>2</v>
      </c>
      <c r="BR19" s="11"/>
      <c r="BS19" s="11"/>
      <c r="BZ19" s="11"/>
      <c r="CA19" s="11"/>
      <c r="CB19" s="2" t="s">
        <v>3075</v>
      </c>
      <c r="CC19" s="15" t="str">
        <f>CHOOSE($AF$18,BF96,BF130,BF131,BF153,BF154,BF153,BF154,"-")</f>
        <v>-</v>
      </c>
      <c r="CD19" s="15" t="str">
        <f>CHOOSE($AF$18,BG96,BG130,BG131,BG153,BG154,BG153,BG154,"-")</f>
        <v>-</v>
      </c>
      <c r="CE19" s="15" t="str">
        <f>CHOOSE($AF$18,BH96,BH130,BH131,BH153,BH154,BH153,BH154,"-")</f>
        <v>-</v>
      </c>
      <c r="CF19" s="15" t="str">
        <f>CHOOSE($AF$18,BK96,BK130,BK131,BK153,BK154,BK153,BK154,"-")</f>
        <v>-</v>
      </c>
      <c r="CG19" s="27" t="s">
        <v>2113</v>
      </c>
      <c r="CH19" s="15">
        <f t="shared" si="1"/>
        <v>1</v>
      </c>
      <c r="CK19" s="2">
        <f t="shared" si="2"/>
      </c>
      <c r="CX19" s="268"/>
      <c r="CY19" s="270"/>
      <c r="CZ19" s="308" t="b">
        <f>AND(CZ3,CZ4=DA10)</f>
        <v>0</v>
      </c>
      <c r="DA19" s="270">
        <f>IF($V$5=3,$CY$8+5,$CY$8+15)</f>
        <v>6</v>
      </c>
      <c r="DB19" s="270">
        <f t="shared" si="10"/>
        <v>0</v>
      </c>
      <c r="DC19" s="309"/>
      <c r="DH19" s="2" t="s">
        <v>4763</v>
      </c>
      <c r="DZ19" s="268"/>
      <c r="EA19" s="18" t="s">
        <v>3904</v>
      </c>
      <c r="EB19" s="18" t="s">
        <v>5010</v>
      </c>
      <c r="EC19" s="18">
        <v>100</v>
      </c>
      <c r="ED19" s="18">
        <v>3200</v>
      </c>
      <c r="EE19" s="18" t="b">
        <f t="shared" si="5"/>
        <v>0</v>
      </c>
      <c r="EF19" s="18">
        <v>11</v>
      </c>
      <c r="EG19" s="18">
        <f t="shared" si="8"/>
        <v>0</v>
      </c>
      <c r="EH19" s="18"/>
      <c r="EI19" s="18" t="b">
        <f t="shared" si="6"/>
        <v>0</v>
      </c>
      <c r="EJ19" s="18">
        <f t="shared" si="9"/>
        <v>0</v>
      </c>
      <c r="EK19" s="269"/>
      <c r="EM19" s="271"/>
      <c r="EN19" s="272"/>
      <c r="EO19" s="272"/>
      <c r="EP19" s="272"/>
      <c r="EQ19" s="272"/>
      <c r="ER19" s="273"/>
      <c r="ET19" s="271"/>
      <c r="EU19" s="272"/>
      <c r="EV19" s="272"/>
      <c r="EW19" s="273"/>
    </row>
    <row r="20" spans="1:141" ht="16.5" customHeight="1" thickBot="1">
      <c r="A20" s="106"/>
      <c r="B20" s="106"/>
      <c r="C20" s="108" t="str">
        <f>DX8</f>
        <v>Vzájemné blokování jističů</v>
      </c>
      <c r="D20" s="245" t="s">
        <v>3406</v>
      </c>
      <c r="E20" s="245"/>
      <c r="F20" s="245"/>
      <c r="G20" s="245"/>
      <c r="H20" s="245"/>
      <c r="I20" s="110"/>
      <c r="J20" s="26">
        <f t="shared" si="3"/>
      </c>
      <c r="K20" s="26">
        <f t="shared" si="4"/>
      </c>
      <c r="L20" s="122">
        <f t="shared" si="11"/>
      </c>
      <c r="M20" s="106"/>
      <c r="N20" s="106"/>
      <c r="Q20" s="2" t="s">
        <v>3452</v>
      </c>
      <c r="R20" s="256"/>
      <c r="S20" s="256" t="str">
        <f>IF(V9=0,Q21,Q20)</f>
        <v>Ochrany</v>
      </c>
      <c r="T20" s="1"/>
      <c r="U20" s="1"/>
      <c r="V20" s="236"/>
      <c r="W20" s="1"/>
      <c r="X20" s="1"/>
      <c r="Y20" s="1"/>
      <c r="Z20" s="1"/>
      <c r="AA20" s="324"/>
      <c r="AB20" s="325"/>
      <c r="AC20" s="272"/>
      <c r="AD20" s="272"/>
      <c r="AE20" s="272"/>
      <c r="AF20" s="272"/>
      <c r="AG20" s="273"/>
      <c r="AI20" s="2">
        <v>2</v>
      </c>
      <c r="AJ20" s="2">
        <v>7</v>
      </c>
      <c r="AK20" s="2">
        <v>75</v>
      </c>
      <c r="AL20" s="2" t="s">
        <v>5010</v>
      </c>
      <c r="AO20" s="3"/>
      <c r="AU20" s="2">
        <v>1</v>
      </c>
      <c r="AV20" s="27">
        <v>3</v>
      </c>
      <c r="AW20" s="27">
        <v>100</v>
      </c>
      <c r="AX20" s="29" t="s">
        <v>5000</v>
      </c>
      <c r="AY20" s="31" t="s">
        <v>5002</v>
      </c>
      <c r="AZ20" s="4"/>
      <c r="BA20" s="3"/>
      <c r="BB20" s="3"/>
      <c r="BC20" s="3"/>
      <c r="BG20" s="14"/>
      <c r="BH20"/>
      <c r="BI20" s="15" t="str">
        <f>IF(BM23,BI19,BI18)</f>
        <v>Podpěťová cívka</v>
      </c>
      <c r="BJ20" s="11"/>
      <c r="BK20" s="11"/>
      <c r="BL20" s="11"/>
      <c r="BM20" s="11" t="b">
        <v>0</v>
      </c>
      <c r="BN20" s="11" t="b">
        <f>AND(BM20,V6="Výsuvné")</f>
        <v>0</v>
      </c>
      <c r="BO20" s="12" t="b">
        <f>AND(BM20,V6="Pevné")</f>
        <v>0</v>
      </c>
      <c r="BP20" s="11">
        <f>IF(BN20,1,2)</f>
        <v>2</v>
      </c>
      <c r="BQ20" s="11"/>
      <c r="BR20" s="11"/>
      <c r="BS20" s="11"/>
      <c r="BZ20" s="11"/>
      <c r="CA20" s="11"/>
      <c r="CB20" s="11" t="s">
        <v>3708</v>
      </c>
      <c r="CC20" s="15" t="str">
        <f>CHOOSE(BO12,BF97,BF98,BF155,BF156,"-")</f>
        <v>-</v>
      </c>
      <c r="CD20" s="15" t="str">
        <f>CHOOSE(BO12,BG97,BG98,BG155,BG156,"-")</f>
        <v>-</v>
      </c>
      <c r="CE20" s="135" t="str">
        <f>CHOOSE(BO12,BH97,BH98,BH155,BH156,"-")</f>
        <v>-</v>
      </c>
      <c r="CF20" s="15" t="str">
        <f>CHOOSE(BO12,BK97,BK98,BK155,BK156,"-")</f>
        <v>-</v>
      </c>
      <c r="CG20" s="27" t="str">
        <f>IF(V6="výsuvné","p","j")</f>
        <v>p</v>
      </c>
      <c r="CH20" s="15">
        <f t="shared" si="1"/>
        <v>1</v>
      </c>
      <c r="CK20" s="2">
        <f t="shared" si="2"/>
      </c>
      <c r="CX20" s="268"/>
      <c r="CY20" s="270"/>
      <c r="CZ20" s="308"/>
      <c r="DA20" s="270">
        <f>SUM(DB11:DB19)</f>
        <v>0</v>
      </c>
      <c r="DB20" s="22">
        <f>IF(DA20=0,22,DA20)</f>
        <v>22</v>
      </c>
      <c r="DC20" s="309"/>
      <c r="DQ20" s="43">
        <f>IF(DQ17&gt;1,DQ11+4,DQ11)</f>
        <v>1</v>
      </c>
      <c r="DR20" s="27">
        <f>IF(DQ5,DQ20,9)</f>
        <v>9</v>
      </c>
      <c r="DZ20" s="268"/>
      <c r="EA20" s="18" t="s">
        <v>3905</v>
      </c>
      <c r="EB20" s="18" t="s">
        <v>5010</v>
      </c>
      <c r="EC20" s="18">
        <v>100</v>
      </c>
      <c r="ED20" s="18">
        <v>4000</v>
      </c>
      <c r="EE20" s="18" t="b">
        <f t="shared" si="5"/>
        <v>0</v>
      </c>
      <c r="EF20" s="18">
        <v>12</v>
      </c>
      <c r="EG20" s="18">
        <f t="shared" si="8"/>
        <v>0</v>
      </c>
      <c r="EH20" s="18"/>
      <c r="EI20" s="18" t="b">
        <f t="shared" si="6"/>
        <v>0</v>
      </c>
      <c r="EJ20" s="18">
        <f t="shared" si="9"/>
        <v>0</v>
      </c>
      <c r="EK20" s="269"/>
    </row>
    <row r="21" spans="1:141" ht="18" customHeight="1" thickBot="1">
      <c r="A21" s="106"/>
      <c r="B21" s="245"/>
      <c r="C21" s="245"/>
      <c r="D21" s="245">
        <f>DX12</f>
      </c>
      <c r="E21" s="106"/>
      <c r="F21" s="106"/>
      <c r="G21" s="106"/>
      <c r="H21" s="106"/>
      <c r="I21" s="110"/>
      <c r="J21" s="26">
        <f t="shared" si="3"/>
      </c>
      <c r="K21" s="26">
        <f t="shared" si="4"/>
      </c>
      <c r="L21" s="122">
        <f t="shared" si="11"/>
      </c>
      <c r="M21" s="106"/>
      <c r="N21" s="106"/>
      <c r="Q21" s="2" t="s">
        <v>3489</v>
      </c>
      <c r="R21" s="256"/>
      <c r="S21" s="256"/>
      <c r="T21" s="1"/>
      <c r="U21" s="1"/>
      <c r="V21" s="237" t="s">
        <v>1115</v>
      </c>
      <c r="W21" s="1"/>
      <c r="X21" s="1"/>
      <c r="Y21" s="1"/>
      <c r="Z21" s="1"/>
      <c r="AA21" s="1"/>
      <c r="AB21" s="1"/>
      <c r="AI21" s="2">
        <v>2</v>
      </c>
      <c r="AJ21" s="2">
        <v>7</v>
      </c>
      <c r="AK21" s="2">
        <v>100</v>
      </c>
      <c r="AL21" s="2" t="s">
        <v>5010</v>
      </c>
      <c r="AO21" s="3"/>
      <c r="AU21" s="2">
        <v>1</v>
      </c>
      <c r="AV21" s="27">
        <v>3</v>
      </c>
      <c r="AW21" s="27" t="s">
        <v>5004</v>
      </c>
      <c r="AX21" s="29" t="s">
        <v>4997</v>
      </c>
      <c r="AY21" s="31" t="s">
        <v>5005</v>
      </c>
      <c r="AZ21" s="4"/>
      <c r="BA21" s="3"/>
      <c r="BB21" s="3"/>
      <c r="BC21" s="3"/>
      <c r="BG21" s="14"/>
      <c r="BH21"/>
      <c r="BI21" s="11"/>
      <c r="BJ21" s="11"/>
      <c r="BK21" s="15" t="s">
        <v>3412</v>
      </c>
      <c r="BL21" s="11"/>
      <c r="BM21" s="15" t="b">
        <v>0</v>
      </c>
      <c r="BN21" s="11">
        <f>IF(BP21,2,1)</f>
        <v>2</v>
      </c>
      <c r="BO21" s="12" t="b">
        <f>NOT(BM21)</f>
        <v>1</v>
      </c>
      <c r="BP21" s="11" t="b">
        <f>OR(BO21,DH2)</f>
        <v>1</v>
      </c>
      <c r="BQ21" s="11" t="b">
        <f>NOT(BP21)</f>
        <v>0</v>
      </c>
      <c r="BR21" s="11" t="b">
        <f>AND(BQ21,V6="pevné")</f>
        <v>0</v>
      </c>
      <c r="BS21" s="11"/>
      <c r="BZ21" s="11"/>
      <c r="CA21" s="11"/>
      <c r="CC21" s="15" t="str">
        <f>CHOOSE(CB17,BF124,"-")</f>
        <v>-</v>
      </c>
      <c r="CD21" s="15" t="str">
        <f>CHOOSE(CB17,BG124,"-")</f>
        <v>-</v>
      </c>
      <c r="CE21" s="135" t="str">
        <f>CHOOSE(CB17,BH124,"-")</f>
        <v>-</v>
      </c>
      <c r="CF21" s="15" t="str">
        <f>CHOOSE(CB17,BK124,"-")</f>
        <v>-</v>
      </c>
      <c r="CG21" s="27" t="s">
        <v>2113</v>
      </c>
      <c r="CH21" s="15">
        <f t="shared" si="1"/>
        <v>1</v>
      </c>
      <c r="CK21" s="2">
        <f t="shared" si="2"/>
      </c>
      <c r="CX21" s="268"/>
      <c r="CY21" s="270" t="s">
        <v>2178</v>
      </c>
      <c r="CZ21" s="308" t="b">
        <f>AND(CZ3,CZ4=DA2)</f>
        <v>0</v>
      </c>
      <c r="DA21" s="270">
        <v>22</v>
      </c>
      <c r="DB21" s="270">
        <f t="shared" si="10"/>
        <v>0</v>
      </c>
      <c r="DC21" s="309"/>
      <c r="DG21" s="1" t="s">
        <v>438</v>
      </c>
      <c r="DH21" s="27" t="str">
        <f>IF(Q10=1,DH22,DH23)</f>
        <v>Elektrická signalizace vypnutí spouští"</v>
      </c>
      <c r="DR21" s="27" t="str">
        <f>IF(DQ5,DQ18,"xxx")</f>
        <v>xxx</v>
      </c>
      <c r="DZ21" s="268"/>
      <c r="EA21" s="18"/>
      <c r="EB21" s="18"/>
      <c r="EC21" s="18"/>
      <c r="ED21" s="18"/>
      <c r="EE21" s="18"/>
      <c r="EF21" s="18"/>
      <c r="EG21" s="18">
        <f>SUM(EG9:EG20)</f>
        <v>0</v>
      </c>
      <c r="EH21" s="18"/>
      <c r="EI21" s="18"/>
      <c r="EJ21" s="18">
        <f>SUM(EJ9:EJ20)</f>
        <v>0</v>
      </c>
      <c r="EK21" s="269"/>
    </row>
    <row r="22" spans="1:141" ht="18" customHeight="1" thickBot="1">
      <c r="A22" s="106"/>
      <c r="B22" s="38" t="s">
        <v>2834</v>
      </c>
      <c r="C22" s="39"/>
      <c r="D22" s="125">
        <f>SUM(L4,L6)</f>
        <v>0</v>
      </c>
      <c r="E22" s="106"/>
      <c r="F22" s="106"/>
      <c r="G22" s="200">
        <v>0</v>
      </c>
      <c r="H22" s="201" t="s">
        <v>3870</v>
      </c>
      <c r="I22" s="110"/>
      <c r="J22" s="26">
        <f t="shared" si="3"/>
      </c>
      <c r="K22" s="26">
        <f t="shared" si="4"/>
      </c>
      <c r="L22" s="122">
        <f t="shared" si="11"/>
      </c>
      <c r="M22" s="106"/>
      <c r="N22" s="106"/>
      <c r="P22" s="7"/>
      <c r="R22" s="256"/>
      <c r="S22" s="256"/>
      <c r="T22" s="1"/>
      <c r="U22" s="1"/>
      <c r="V22" s="237"/>
      <c r="W22" s="1"/>
      <c r="X22" s="1"/>
      <c r="Y22" s="1"/>
      <c r="Z22" s="1"/>
      <c r="AA22" s="1"/>
      <c r="AB22" s="1"/>
      <c r="AI22" s="2">
        <v>2</v>
      </c>
      <c r="AJ22" s="2">
        <v>8</v>
      </c>
      <c r="AK22" s="2">
        <v>100</v>
      </c>
      <c r="AL22" s="2" t="s">
        <v>5012</v>
      </c>
      <c r="AO22" s="3"/>
      <c r="AU22" s="2">
        <v>1</v>
      </c>
      <c r="AV22" s="27">
        <v>4</v>
      </c>
      <c r="AW22" s="27">
        <v>42</v>
      </c>
      <c r="AX22" s="29" t="s">
        <v>4997</v>
      </c>
      <c r="AY22" s="31" t="s">
        <v>2794</v>
      </c>
      <c r="AZ22" s="4"/>
      <c r="BA22" s="3"/>
      <c r="BB22" s="29" t="s">
        <v>3448</v>
      </c>
      <c r="BC22" s="29" t="s">
        <v>3451</v>
      </c>
      <c r="BG22" s="14"/>
      <c r="BH22"/>
      <c r="BI22" s="11"/>
      <c r="BJ22" s="11"/>
      <c r="BK22" s="11"/>
      <c r="BL22" s="11"/>
      <c r="BM22" s="11" t="b">
        <v>0</v>
      </c>
      <c r="BN22" s="11">
        <f>IF(BM22,1,2)</f>
        <v>2</v>
      </c>
      <c r="BO22" s="12"/>
      <c r="BP22" s="11"/>
      <c r="BQ22" s="11"/>
      <c r="BR22" s="11"/>
      <c r="BS22" s="11"/>
      <c r="BZ22" s="11"/>
      <c r="CA22" s="11"/>
      <c r="CB22" s="2" t="s">
        <v>3884</v>
      </c>
      <c r="CC22" s="15" t="str">
        <f>CHOOSE($BQ$13,BF99,BF100,BF101,BF102,BF103,BF104,BF157,BF158,BF159,BF160,BF161,"-")</f>
        <v>-</v>
      </c>
      <c r="CD22" s="15" t="str">
        <f>CHOOSE($BQ$13,BG99,BG100,BG101,BG102,BG103,BG104,BG157,BG158,BG159,BG160,BG161,"-")</f>
        <v>-</v>
      </c>
      <c r="CE22" s="15" t="str">
        <f>CHOOSE($BQ$13,BH99,BH100,BH101,BH102,BH103,BH104,BH157,BH158,BH159,BH160,BH161,"-")</f>
        <v>-</v>
      </c>
      <c r="CF22" s="15" t="str">
        <f>CHOOSE($BQ$13,BK99,BK100,BK101,BK102,BK103,BK104,BK157,BK158,BK159,BK160,BK161,"-")</f>
        <v>-</v>
      </c>
      <c r="CG22" s="27" t="s">
        <v>2115</v>
      </c>
      <c r="CH22" s="15">
        <f t="shared" si="1"/>
        <v>1</v>
      </c>
      <c r="CK22" s="2">
        <f t="shared" si="2"/>
      </c>
      <c r="CX22" s="268"/>
      <c r="CY22" s="270"/>
      <c r="CZ22" s="308" t="b">
        <f>AND(CZ3,CZ4=DA3)</f>
        <v>0</v>
      </c>
      <c r="DA22" s="270">
        <f>IF($V$5=3,$CY$8+0,$CY$8+10)</f>
        <v>1</v>
      </c>
      <c r="DB22" s="270">
        <f t="shared" si="10"/>
        <v>0</v>
      </c>
      <c r="DC22" s="309"/>
      <c r="DG22" s="2" t="s">
        <v>436</v>
      </c>
      <c r="DH22" s="2" t="str">
        <f>IF(BO10,DH18,DH17)</f>
        <v>Elektrická signalizace vypnutí spouští"</v>
      </c>
      <c r="DZ22" s="268"/>
      <c r="EA22" s="18" t="b">
        <f>AND(EJ21&gt;=1,EJ21&lt;=12)</f>
        <v>0</v>
      </c>
      <c r="EB22" s="33" t="b">
        <f>AND(EA22=FALSE,EB3)</f>
        <v>0</v>
      </c>
      <c r="EC22" s="18"/>
      <c r="ED22" s="18"/>
      <c r="EE22" s="18"/>
      <c r="EF22" s="18"/>
      <c r="EG22" s="33">
        <f>IF(EG21=0,13,EG21)</f>
        <v>13</v>
      </c>
      <c r="EH22" s="18"/>
      <c r="EI22" s="18"/>
      <c r="EJ22" s="18"/>
      <c r="EK22" s="269"/>
    </row>
    <row r="23" spans="1:141" ht="18" customHeight="1">
      <c r="A23" s="106"/>
      <c r="B23" s="38" t="s">
        <v>2833</v>
      </c>
      <c r="C23" s="39"/>
      <c r="D23" s="125">
        <f>SUM(L8:L31)</f>
        <v>0</v>
      </c>
      <c r="E23" s="106"/>
      <c r="F23" s="106"/>
      <c r="G23" s="198"/>
      <c r="H23" s="199"/>
      <c r="I23" s="110"/>
      <c r="J23" s="26">
        <f t="shared" si="3"/>
      </c>
      <c r="K23" s="26">
        <f t="shared" si="4"/>
      </c>
      <c r="L23" s="122">
        <f t="shared" si="11"/>
      </c>
      <c r="M23" s="106"/>
      <c r="N23" s="106"/>
      <c r="R23" s="256"/>
      <c r="S23" s="256" t="str">
        <f>IF(Q10=1,S20,"")</f>
        <v>Ochrany</v>
      </c>
      <c r="T23" s="1"/>
      <c r="U23" s="1"/>
      <c r="V23" s="28" t="str">
        <f>IF(Q10=1,V19,V21)</f>
        <v>Pomocné kontakty 5/5</v>
      </c>
      <c r="W23" s="1"/>
      <c r="X23" s="1"/>
      <c r="Y23" s="1"/>
      <c r="Z23" s="1"/>
      <c r="AA23" s="1"/>
      <c r="AB23" s="1"/>
      <c r="AI23" s="2">
        <v>2</v>
      </c>
      <c r="AJ23" s="2">
        <v>9</v>
      </c>
      <c r="AK23" s="2">
        <v>100</v>
      </c>
      <c r="AL23" s="2" t="s">
        <v>5012</v>
      </c>
      <c r="AO23" s="3"/>
      <c r="AU23" s="2">
        <v>1</v>
      </c>
      <c r="AV23" s="27">
        <v>4</v>
      </c>
      <c r="AW23" s="27">
        <v>65</v>
      </c>
      <c r="AX23" s="29" t="s">
        <v>4997</v>
      </c>
      <c r="AY23" s="31" t="s">
        <v>4998</v>
      </c>
      <c r="AZ23" s="4"/>
      <c r="BA23" s="3"/>
      <c r="BB23" s="29">
        <v>1</v>
      </c>
      <c r="BC23" s="29" t="s">
        <v>4995</v>
      </c>
      <c r="BF23" s="13"/>
      <c r="BG23"/>
      <c r="BH23"/>
      <c r="BI23" s="11"/>
      <c r="BJ23" s="11"/>
      <c r="BK23" s="11"/>
      <c r="BL23" s="15" t="s">
        <v>3731</v>
      </c>
      <c r="BM23" s="15" t="b">
        <v>0</v>
      </c>
      <c r="BN23" s="11" t="b">
        <f>AND(BM23,BM5)</f>
        <v>0</v>
      </c>
      <c r="BO23" s="12"/>
      <c r="BP23" s="11"/>
      <c r="BQ23" s="11"/>
      <c r="BR23" s="11"/>
      <c r="BS23" s="11"/>
      <c r="BZ23" s="11"/>
      <c r="CA23" s="11"/>
      <c r="CC23" s="15" t="str">
        <f>CHOOSE(BN14,BF107,"-")</f>
        <v>-</v>
      </c>
      <c r="CD23" s="15" t="str">
        <f>CHOOSE(BN14,BG107,"-")</f>
        <v>-</v>
      </c>
      <c r="CE23" s="135" t="str">
        <f>CHOOSE(BN14,BH107,"-")</f>
        <v>-</v>
      </c>
      <c r="CF23" s="15" t="str">
        <f>CHOOSE(BN14,BK107,"-")</f>
        <v>-</v>
      </c>
      <c r="CG23" s="27" t="s">
        <v>2113</v>
      </c>
      <c r="CH23" s="15">
        <f t="shared" si="1"/>
        <v>1</v>
      </c>
      <c r="CK23" s="2">
        <f t="shared" si="2"/>
      </c>
      <c r="CX23" s="268"/>
      <c r="CY23" s="270"/>
      <c r="CZ23" s="308" t="b">
        <f>AND(CZ3,CZ4=DA4)</f>
        <v>0</v>
      </c>
      <c r="DA23" s="270">
        <f>IF($V$5=3,$CY$8+5,$CY$8+15)</f>
        <v>6</v>
      </c>
      <c r="DB23" s="270">
        <f t="shared" si="10"/>
        <v>0</v>
      </c>
      <c r="DC23" s="309"/>
      <c r="DG23" s="2" t="s">
        <v>437</v>
      </c>
      <c r="DH23" s="2">
        <f>IF(BM10,DH19,"")</f>
      </c>
      <c r="DZ23" s="26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269"/>
    </row>
    <row r="24" spans="1:141" ht="18" customHeight="1">
      <c r="A24" s="106"/>
      <c r="B24" s="40" t="s">
        <v>2835</v>
      </c>
      <c r="C24" s="41"/>
      <c r="D24" s="126">
        <f>SUM(D22:D23)</f>
        <v>0</v>
      </c>
      <c r="E24" s="106"/>
      <c r="F24" s="252" t="s">
        <v>4170</v>
      </c>
      <c r="G24" s="106"/>
      <c r="H24" s="106"/>
      <c r="I24" s="110"/>
      <c r="J24" s="26">
        <f t="shared" si="3"/>
      </c>
      <c r="K24" s="26">
        <f t="shared" si="4"/>
      </c>
      <c r="L24" s="122">
        <f t="shared" si="11"/>
      </c>
      <c r="M24" s="106"/>
      <c r="N24" s="106"/>
      <c r="P24" s="8"/>
      <c r="R24" s="256"/>
      <c r="S24" s="256"/>
      <c r="T24" s="1"/>
      <c r="U24" s="1"/>
      <c r="V24" s="1"/>
      <c r="W24" s="1"/>
      <c r="X24" s="1"/>
      <c r="Y24" s="1"/>
      <c r="Z24" s="1"/>
      <c r="AA24" s="1"/>
      <c r="AB24" s="1"/>
      <c r="AO24" s="3"/>
      <c r="AU24" s="2">
        <v>1</v>
      </c>
      <c r="AV24" s="27">
        <v>4</v>
      </c>
      <c r="AW24" s="27">
        <v>75</v>
      </c>
      <c r="AX24" s="29" t="s">
        <v>5000</v>
      </c>
      <c r="AY24" s="31" t="s">
        <v>5001</v>
      </c>
      <c r="AZ24" s="4"/>
      <c r="BA24" s="3"/>
      <c r="BB24" s="29">
        <v>1</v>
      </c>
      <c r="BC24" s="29" t="s">
        <v>4996</v>
      </c>
      <c r="BF24" s="13"/>
      <c r="BG24"/>
      <c r="BH24"/>
      <c r="BI24" s="11"/>
      <c r="BJ24" s="11"/>
      <c r="BK24" s="11"/>
      <c r="BL24" s="11"/>
      <c r="BM24" s="11"/>
      <c r="BN24" s="11"/>
      <c r="BO24" s="12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C24" s="15" t="str">
        <f>CHOOSE(BO15,BF108,BF109,BF110,BF111,BF112,"-")</f>
        <v>-</v>
      </c>
      <c r="CD24" s="15" t="str">
        <f>CHOOSE(BO15,BG108,BG109,BG110,BG111,BG112,"-")</f>
        <v>-</v>
      </c>
      <c r="CE24" s="135" t="str">
        <f>CHOOSE(BO15,BH108,BH109,BH110,BH111,BH112,"-")</f>
        <v>-</v>
      </c>
      <c r="CF24" s="15" t="str">
        <f>CHOOSE(BO15,BK108,BK109,BK110,BK111,BK112,"-")</f>
        <v>-</v>
      </c>
      <c r="CG24" s="27" t="s">
        <v>2113</v>
      </c>
      <c r="CH24" s="15">
        <f t="shared" si="1"/>
        <v>1</v>
      </c>
      <c r="CK24" s="2">
        <f t="shared" si="2"/>
      </c>
      <c r="CX24" s="268"/>
      <c r="CY24" s="270"/>
      <c r="CZ24" s="308" t="b">
        <f>AND(CZ3,CZ4=DA5)</f>
        <v>0</v>
      </c>
      <c r="DA24" s="270">
        <f>IF($V$5=3,$CY$8+0,$CY$8+10)</f>
        <v>1</v>
      </c>
      <c r="DB24" s="270">
        <f t="shared" si="10"/>
        <v>0</v>
      </c>
      <c r="DC24" s="309"/>
      <c r="DZ24" s="268"/>
      <c r="EA24" s="18" t="s">
        <v>3907</v>
      </c>
      <c r="EB24" s="18"/>
      <c r="EC24" s="18"/>
      <c r="ED24" s="18"/>
      <c r="EE24" s="18"/>
      <c r="EF24" s="18"/>
      <c r="EG24" s="18"/>
      <c r="EH24" s="18"/>
      <c r="EI24" s="18"/>
      <c r="EJ24" s="18"/>
      <c r="EK24" s="269"/>
    </row>
    <row r="25" spans="1:141" ht="18" customHeight="1">
      <c r="A25" s="106"/>
      <c r="B25" s="35" t="s">
        <v>2843</v>
      </c>
      <c r="C25" s="36"/>
      <c r="D25" s="37">
        <v>1</v>
      </c>
      <c r="E25" s="106"/>
      <c r="F25" s="112"/>
      <c r="G25" s="106"/>
      <c r="H25" s="106"/>
      <c r="I25" s="110"/>
      <c r="J25" s="26">
        <f t="shared" si="3"/>
      </c>
      <c r="K25" s="26">
        <f t="shared" si="4"/>
      </c>
      <c r="L25" s="122">
        <f t="shared" si="11"/>
      </c>
      <c r="M25" s="106"/>
      <c r="N25" s="106"/>
      <c r="R25" s="256"/>
      <c r="S25" s="256" t="b">
        <f>AND(Q10=1,V9=0)</f>
        <v>0</v>
      </c>
      <c r="T25" s="1"/>
      <c r="U25" s="1"/>
      <c r="V25" s="1"/>
      <c r="W25" s="1"/>
      <c r="X25" s="1"/>
      <c r="Y25" s="1"/>
      <c r="Z25" s="1"/>
      <c r="AA25" s="1"/>
      <c r="AB25" s="1"/>
      <c r="AO25" s="3"/>
      <c r="AU25" s="2">
        <v>1</v>
      </c>
      <c r="AV25" s="27">
        <v>4</v>
      </c>
      <c r="AW25" s="27">
        <v>100</v>
      </c>
      <c r="AX25" s="29" t="s">
        <v>5000</v>
      </c>
      <c r="AY25" s="31" t="s">
        <v>5002</v>
      </c>
      <c r="AZ25" s="4"/>
      <c r="BA25" s="3"/>
      <c r="BB25" s="29">
        <v>1</v>
      </c>
      <c r="BC25" s="29" t="s">
        <v>4999</v>
      </c>
      <c r="BF25"/>
      <c r="BG25"/>
      <c r="BH25"/>
      <c r="BI25" s="11"/>
      <c r="BJ25" s="11"/>
      <c r="BK25" s="11"/>
      <c r="BL25" s="11"/>
      <c r="BM25" s="11" t="s">
        <v>441</v>
      </c>
      <c r="BN25" s="11" t="s">
        <v>442</v>
      </c>
      <c r="BO25" s="12" t="s">
        <v>443</v>
      </c>
      <c r="BP25" s="11" t="s">
        <v>444</v>
      </c>
      <c r="BQ25" s="11"/>
      <c r="BR25" s="11" t="s">
        <v>445</v>
      </c>
      <c r="BS25" s="11"/>
      <c r="BT25" s="11" t="s">
        <v>446</v>
      </c>
      <c r="BU25" s="11"/>
      <c r="BV25" s="274" t="s">
        <v>3449</v>
      </c>
      <c r="BW25" s="274" t="s">
        <v>2626</v>
      </c>
      <c r="BX25" s="29" t="s">
        <v>3885</v>
      </c>
      <c r="BY25" s="274" t="s">
        <v>3888</v>
      </c>
      <c r="BZ25" s="11"/>
      <c r="CA25" s="11"/>
      <c r="CC25" s="15" t="str">
        <f>CHOOSE(BP16,BF113,"-")</f>
        <v>-</v>
      </c>
      <c r="CD25" s="15" t="str">
        <f>CHOOSE(BP16,BG113,"-")</f>
        <v>-</v>
      </c>
      <c r="CE25" s="135" t="str">
        <f>CHOOSE(BP16,BH113,"-")</f>
        <v>-</v>
      </c>
      <c r="CF25" s="15" t="str">
        <f>CHOOSE(BP16,BK113,"-")</f>
        <v>-</v>
      </c>
      <c r="CG25" s="27" t="s">
        <v>2113</v>
      </c>
      <c r="CH25" s="15">
        <f t="shared" si="1"/>
        <v>1</v>
      </c>
      <c r="CK25" s="2">
        <f t="shared" si="2"/>
      </c>
      <c r="CX25" s="268"/>
      <c r="CY25" s="270"/>
      <c r="CZ25" s="308" t="b">
        <f>AND(CZ3,CZ4=DA6)</f>
        <v>0</v>
      </c>
      <c r="DA25" s="270">
        <f>IF($V$5=3,$CY$8+5,$CY$8+15)</f>
        <v>6</v>
      </c>
      <c r="DB25" s="270">
        <f t="shared" si="10"/>
        <v>0</v>
      </c>
      <c r="DC25" s="309"/>
      <c r="DG25" s="1" t="s">
        <v>4764</v>
      </c>
      <c r="DH25" s="2" t="b">
        <f>AND(Q10=2,BM10)</f>
        <v>0</v>
      </c>
      <c r="DZ25" s="268"/>
      <c r="EA25" s="18" t="s">
        <v>3908</v>
      </c>
      <c r="EB25" s="18"/>
      <c r="EC25" s="18"/>
      <c r="ED25" s="18"/>
      <c r="EE25" s="18"/>
      <c r="EF25" s="18"/>
      <c r="EG25" s="18"/>
      <c r="EH25" s="18"/>
      <c r="EI25" s="18"/>
      <c r="EJ25" s="18"/>
      <c r="EK25" s="269"/>
    </row>
    <row r="26" spans="1:141" ht="18" customHeight="1">
      <c r="A26" s="106"/>
      <c r="B26" s="35" t="s">
        <v>2844</v>
      </c>
      <c r="C26" s="36"/>
      <c r="D26" s="127">
        <f>D25*D24</f>
        <v>0</v>
      </c>
      <c r="E26" s="106"/>
      <c r="F26" s="106"/>
      <c r="G26" s="106"/>
      <c r="H26" s="106"/>
      <c r="I26" s="110"/>
      <c r="J26" s="26">
        <f t="shared" si="3"/>
      </c>
      <c r="K26" s="26">
        <f t="shared" si="4"/>
      </c>
      <c r="L26" s="122">
        <f t="shared" si="11"/>
      </c>
      <c r="M26" s="106"/>
      <c r="N26" s="106"/>
      <c r="Q26" s="2" t="b">
        <v>0</v>
      </c>
      <c r="R26" s="256" t="b">
        <v>0</v>
      </c>
      <c r="S26" s="256"/>
      <c r="T26" s="1"/>
      <c r="U26" s="1"/>
      <c r="V26" s="1"/>
      <c r="W26" s="1"/>
      <c r="X26" s="1"/>
      <c r="Y26" s="1"/>
      <c r="Z26" s="1"/>
      <c r="AA26" s="1"/>
      <c r="AB26" s="1"/>
      <c r="AO26" s="3"/>
      <c r="AU26" s="2">
        <v>1</v>
      </c>
      <c r="AV26" s="27">
        <v>4</v>
      </c>
      <c r="AW26" s="27" t="s">
        <v>5004</v>
      </c>
      <c r="AX26" s="29" t="s">
        <v>5000</v>
      </c>
      <c r="AY26" s="31" t="s">
        <v>5008</v>
      </c>
      <c r="AZ26" s="4"/>
      <c r="BA26" s="3"/>
      <c r="BB26" s="3"/>
      <c r="BC26" s="3"/>
      <c r="BF26"/>
      <c r="BG26"/>
      <c r="BH26"/>
      <c r="BI26" s="11"/>
      <c r="BJ26" s="11"/>
      <c r="BK26" s="11"/>
      <c r="BL26" s="11"/>
      <c r="BM26" s="11" t="s">
        <v>3728</v>
      </c>
      <c r="BN26" s="11">
        <f>IF(BM3=TRUE,BM26,"")</f>
      </c>
      <c r="BO26" s="12">
        <f>IF(BM4=TRUE,BM26,"")</f>
      </c>
      <c r="BP26" s="11">
        <f>IF(BM5=TRUE,BM26,"")</f>
      </c>
      <c r="BQ26" s="11" t="s">
        <v>447</v>
      </c>
      <c r="BR26" s="11">
        <f>IF(BT7,BQ26,"")</f>
      </c>
      <c r="BS26" s="11" t="s">
        <v>448</v>
      </c>
      <c r="BT26" s="11">
        <f>IF(BM8,BS26,"")</f>
      </c>
      <c r="BU26" s="11" t="s">
        <v>449</v>
      </c>
      <c r="BV26" s="274" t="str">
        <f>W4</f>
        <v>E1</v>
      </c>
      <c r="BW26" s="279">
        <f>V5</f>
        <v>3</v>
      </c>
      <c r="BX26" s="29" t="str">
        <f>IF(R26,"Au","st")</f>
        <v>st</v>
      </c>
      <c r="BY26" s="274">
        <f>IF(BN13=1,5,10)</f>
        <v>5</v>
      </c>
      <c r="BZ26" s="11"/>
      <c r="CA26" s="11"/>
      <c r="CB26" s="2" t="s">
        <v>3709</v>
      </c>
      <c r="CC26" s="15" t="str">
        <f>CHOOSE(BP17,BF122,"-")</f>
        <v>-</v>
      </c>
      <c r="CD26" s="15" t="str">
        <f>CHOOSE(BP17,BG122,"-")</f>
        <v>-</v>
      </c>
      <c r="CE26" s="135" t="str">
        <f>CHOOSE(BP17,BH122,"-")</f>
        <v>-</v>
      </c>
      <c r="CF26" s="15" t="str">
        <f>CHOOSE(BP17,BK122,"-")</f>
        <v>-</v>
      </c>
      <c r="CG26" s="27" t="s">
        <v>2113</v>
      </c>
      <c r="CH26" s="15">
        <f t="shared" si="1"/>
        <v>1</v>
      </c>
      <c r="CK26" s="2">
        <f t="shared" si="2"/>
      </c>
      <c r="CX26" s="268"/>
      <c r="CY26" s="310" t="s">
        <v>2180</v>
      </c>
      <c r="CZ26" s="308" t="b">
        <f>AND(CZ3,CZ4=DA7)</f>
        <v>0</v>
      </c>
      <c r="DA26" s="270">
        <v>21</v>
      </c>
      <c r="DB26" s="270">
        <f t="shared" si="10"/>
        <v>0</v>
      </c>
      <c r="DC26" s="309"/>
      <c r="DH26" s="2" t="b">
        <f>AND(Q10=1,BO10)</f>
        <v>0</v>
      </c>
      <c r="DZ26" s="26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269"/>
    </row>
    <row r="27" spans="1:141" ht="15" customHeight="1">
      <c r="A27" s="106"/>
      <c r="B27" s="106"/>
      <c r="C27" s="108" t="str">
        <f>Q31</f>
        <v>Zlacené pomocné kontakty</v>
      </c>
      <c r="D27" s="108"/>
      <c r="E27" s="106"/>
      <c r="F27" s="106"/>
      <c r="G27" s="106"/>
      <c r="H27" s="106"/>
      <c r="I27" s="108"/>
      <c r="J27" s="26">
        <f aca="true" t="shared" si="12" ref="J27:K29">IF($F$24="a",CC58,"")</f>
      </c>
      <c r="K27" s="26">
        <f t="shared" si="12"/>
      </c>
      <c r="L27" s="122">
        <f>IF($F$24="a",C66,"")</f>
      </c>
      <c r="M27" s="106"/>
      <c r="N27" s="106"/>
      <c r="P27" s="27" t="s">
        <v>4876</v>
      </c>
      <c r="Q27" s="27" t="str">
        <f>IF(P30,P28,"")</f>
        <v>Zlacené pomocné kontakty</v>
      </c>
      <c r="R27" s="29"/>
      <c r="S27" s="29"/>
      <c r="T27" s="1"/>
      <c r="U27" s="1"/>
      <c r="V27" s="1"/>
      <c r="W27" s="1"/>
      <c r="X27" s="1"/>
      <c r="Y27" s="1"/>
      <c r="Z27" s="1"/>
      <c r="AA27" s="1"/>
      <c r="AB27" s="1"/>
      <c r="AO27" s="3"/>
      <c r="AU27" s="2">
        <v>1</v>
      </c>
      <c r="AV27" s="27">
        <v>5</v>
      </c>
      <c r="AW27" s="27">
        <v>65</v>
      </c>
      <c r="AX27" s="29" t="s">
        <v>5000</v>
      </c>
      <c r="AY27" s="31" t="s">
        <v>5009</v>
      </c>
      <c r="AZ27" s="4"/>
      <c r="BA27" s="3"/>
      <c r="BB27" s="3"/>
      <c r="BC27" s="3"/>
      <c r="BF27"/>
      <c r="BG27"/>
      <c r="BH27"/>
      <c r="BI27" s="11"/>
      <c r="BJ27" s="11"/>
      <c r="BK27" s="11"/>
      <c r="BL27" s="11"/>
      <c r="BM27" s="11">
        <v>30</v>
      </c>
      <c r="BN27" s="11">
        <f>IF(BM3=TRUE,BM27,"")</f>
      </c>
      <c r="BO27" s="12">
        <f>IF(BM4=TRUE,BM27,"")</f>
      </c>
      <c r="BP27" s="11">
        <f>IF(BM5=TRUE,BM27,"")</f>
      </c>
      <c r="BQ27" s="11" t="s">
        <v>450</v>
      </c>
      <c r="BR27" s="11">
        <f>IF(BT7,BQ27,"")</f>
      </c>
      <c r="BS27" s="11" t="s">
        <v>451</v>
      </c>
      <c r="BT27" s="11">
        <f>IF(BM8,BS27,"")</f>
      </c>
      <c r="BU27" s="11" t="s">
        <v>452</v>
      </c>
      <c r="BV27" s="11"/>
      <c r="BW27" s="11"/>
      <c r="BX27" s="11"/>
      <c r="BY27" s="11"/>
      <c r="BZ27" s="11"/>
      <c r="CA27" s="249" t="s">
        <v>3414</v>
      </c>
      <c r="CB27" s="251">
        <f>IF(DU2,DN18,6)</f>
        <v>6</v>
      </c>
      <c r="CC27" s="15" t="str">
        <f>CHOOSE(BP18,BF114,BF115,BF116,BF117,BF118,"-")</f>
        <v>-</v>
      </c>
      <c r="CD27" s="15" t="str">
        <f>CHOOSE(BP18,BG114,BG115,BG116,BG117,BG118,"-")</f>
        <v>-</v>
      </c>
      <c r="CE27" s="135" t="str">
        <f>CHOOSE(BP18,BH114,BH115,BH116,BH117,BH118,"-")</f>
        <v>-</v>
      </c>
      <c r="CF27" s="15" t="str">
        <f>CHOOSE(BP18,BK114,BK115,BK116,BK117,BK118,"-")</f>
        <v>-</v>
      </c>
      <c r="CG27" s="27" t="s">
        <v>2113</v>
      </c>
      <c r="CH27" s="15">
        <f t="shared" si="1"/>
        <v>1</v>
      </c>
      <c r="CK27" s="2">
        <f t="shared" si="2"/>
      </c>
      <c r="CX27" s="268"/>
      <c r="CY27" s="270"/>
      <c r="CZ27" s="308" t="b">
        <f>AND(CZ3,CZ4=DA8)</f>
        <v>0</v>
      </c>
      <c r="DA27" s="270">
        <f>IF($V$5=3,$CY$8+5,$CY$8+15)</f>
        <v>6</v>
      </c>
      <c r="DB27" s="270">
        <f t="shared" si="10"/>
        <v>0</v>
      </c>
      <c r="DC27" s="309"/>
      <c r="DH27" s="27" t="b">
        <f>OR(DH25,DH26)</f>
        <v>0</v>
      </c>
      <c r="DZ27" s="268"/>
      <c r="EA27" s="18">
        <f>IF(EA22,EA24,"")</f>
      </c>
      <c r="EB27" s="18"/>
      <c r="EC27" s="18"/>
      <c r="ED27" s="18"/>
      <c r="EE27" s="18"/>
      <c r="EF27" s="18"/>
      <c r="EG27" s="18"/>
      <c r="EH27" s="18"/>
      <c r="EI27" s="18"/>
      <c r="EJ27" s="18"/>
      <c r="EK27" s="269"/>
    </row>
    <row r="28" spans="1:141" ht="15" customHeight="1">
      <c r="A28" s="106"/>
      <c r="B28" s="106"/>
      <c r="C28" s="108">
        <f>R31</f>
        <v>0</v>
      </c>
      <c r="D28" s="108"/>
      <c r="E28" s="106"/>
      <c r="F28" s="106"/>
      <c r="G28" s="106"/>
      <c r="H28" s="106"/>
      <c r="I28" s="106"/>
      <c r="J28" s="26">
        <f t="shared" si="12"/>
      </c>
      <c r="K28" s="26">
        <f t="shared" si="12"/>
      </c>
      <c r="L28" s="122">
        <f>IF($F$24="a",C67,"")</f>
      </c>
      <c r="M28" s="106"/>
      <c r="N28" s="106"/>
      <c r="P28" s="27" t="s">
        <v>4874</v>
      </c>
      <c r="Q28" s="27" t="s">
        <v>4879</v>
      </c>
      <c r="R28" s="29" t="s">
        <v>4875</v>
      </c>
      <c r="S28" s="30">
        <f>AY7</f>
        <v>2</v>
      </c>
      <c r="T28" s="1" t="b">
        <f>BM13</f>
        <v>0</v>
      </c>
      <c r="U28" s="1"/>
      <c r="V28" s="1"/>
      <c r="W28" s="1"/>
      <c r="X28" s="1"/>
      <c r="Y28" s="1"/>
      <c r="Z28" s="1"/>
      <c r="AA28" s="1"/>
      <c r="AB28" s="1"/>
      <c r="AO28" s="3"/>
      <c r="AU28" s="2">
        <v>1</v>
      </c>
      <c r="AV28" s="27">
        <v>5</v>
      </c>
      <c r="AW28" s="27">
        <v>75</v>
      </c>
      <c r="AX28" s="29" t="s">
        <v>5000</v>
      </c>
      <c r="AY28" s="31" t="s">
        <v>5001</v>
      </c>
      <c r="AZ28" s="4"/>
      <c r="BA28" s="3"/>
      <c r="BB28" s="3"/>
      <c r="BC28" s="3"/>
      <c r="BF28"/>
      <c r="BG28"/>
      <c r="BH28"/>
      <c r="BI28" s="11"/>
      <c r="BJ28" s="11"/>
      <c r="BK28" s="11"/>
      <c r="BL28" s="11"/>
      <c r="BM28" s="11">
        <v>48</v>
      </c>
      <c r="BN28" s="11">
        <f>IF(BM3=TRUE,BM28,"")</f>
      </c>
      <c r="BO28" s="12">
        <f>IF(BM4=TRUE,BM28,"")</f>
      </c>
      <c r="BP28" s="11">
        <f>IF(BM5=TRUE,BM28,"")</f>
      </c>
      <c r="BQ28" s="11"/>
      <c r="BR28" s="11"/>
      <c r="BS28" s="11" t="s">
        <v>453</v>
      </c>
      <c r="BT28" s="11">
        <f>IF(BM8,BS28,"")</f>
      </c>
      <c r="BU28" s="11" t="s">
        <v>454</v>
      </c>
      <c r="BV28" s="11"/>
      <c r="BW28" s="11"/>
      <c r="BX28" s="11"/>
      <c r="BY28" s="11"/>
      <c r="BZ28" s="11"/>
      <c r="CA28" s="249" t="s">
        <v>3413</v>
      </c>
      <c r="CB28" s="2">
        <f>IF(DU3,1,2)</f>
        <v>2</v>
      </c>
      <c r="CC28" s="15" t="str">
        <f>CHOOSE(BQ19,BF119,"-")</f>
        <v>-</v>
      </c>
      <c r="CD28" s="15" t="str">
        <f>CHOOSE(BQ19,BG119,"-")</f>
        <v>-</v>
      </c>
      <c r="CE28" s="135" t="str">
        <f>CHOOSE(BQ19,BH119,"-")</f>
        <v>-</v>
      </c>
      <c r="CF28" s="15" t="str">
        <f>CHOOSE(BQ19,BK119,"-")</f>
        <v>-</v>
      </c>
      <c r="CG28" s="27" t="s">
        <v>2113</v>
      </c>
      <c r="CH28" s="15">
        <f t="shared" si="1"/>
        <v>1</v>
      </c>
      <c r="CK28" s="2">
        <f t="shared" si="2"/>
      </c>
      <c r="CX28" s="268"/>
      <c r="CY28" s="310" t="s">
        <v>2180</v>
      </c>
      <c r="CZ28" s="308" t="b">
        <f>AND(CZ3,CZ4=DA9)</f>
        <v>0</v>
      </c>
      <c r="DA28" s="270">
        <v>21</v>
      </c>
      <c r="DB28" s="270">
        <f t="shared" si="10"/>
        <v>0</v>
      </c>
      <c r="DC28" s="309"/>
      <c r="DZ28" s="268"/>
      <c r="EA28" s="33">
        <f>IF(EB22,EA25,EA27)</f>
      </c>
      <c r="EB28" s="18"/>
      <c r="EC28" s="18"/>
      <c r="ED28" s="18"/>
      <c r="EE28" s="18"/>
      <c r="EF28" s="18"/>
      <c r="EG28" s="18"/>
      <c r="EH28" s="18"/>
      <c r="EI28" s="18"/>
      <c r="EJ28" s="18"/>
      <c r="EK28" s="269"/>
    </row>
    <row r="29" spans="1:141" ht="15" customHeight="1">
      <c r="A29" s="106"/>
      <c r="B29" s="106"/>
      <c r="C29" s="108">
        <f>EA28</f>
      </c>
      <c r="D29" s="108"/>
      <c r="E29" s="106"/>
      <c r="F29" s="106"/>
      <c r="G29" s="106"/>
      <c r="H29" s="106"/>
      <c r="I29" s="106"/>
      <c r="J29" s="34">
        <f t="shared" si="12"/>
      </c>
      <c r="K29" s="34">
        <f t="shared" si="12"/>
      </c>
      <c r="L29" s="123">
        <f>IF($F$24="a",C68,"")</f>
      </c>
      <c r="M29" s="106"/>
      <c r="N29" s="106"/>
      <c r="P29" s="2" t="b">
        <f>AND(BM11,Q10=2)</f>
        <v>0</v>
      </c>
      <c r="R29" s="30" t="s">
        <v>4877</v>
      </c>
      <c r="S29" s="30"/>
      <c r="T29" s="1"/>
      <c r="U29" s="1"/>
      <c r="V29" s="1"/>
      <c r="W29" s="1"/>
      <c r="X29" s="1"/>
      <c r="Y29" s="1"/>
      <c r="Z29" s="1"/>
      <c r="AA29" s="1"/>
      <c r="AB29" s="1"/>
      <c r="AO29" s="3"/>
      <c r="AU29" s="2">
        <v>1</v>
      </c>
      <c r="AV29" s="27">
        <v>5</v>
      </c>
      <c r="AW29" s="27">
        <v>100</v>
      </c>
      <c r="AX29" s="29" t="s">
        <v>5000</v>
      </c>
      <c r="AY29" s="31" t="s">
        <v>5002</v>
      </c>
      <c r="AZ29" s="4"/>
      <c r="BA29" s="3"/>
      <c r="BB29" s="3"/>
      <c r="BC29" s="3"/>
      <c r="BF29"/>
      <c r="BG29"/>
      <c r="BH29"/>
      <c r="BI29" s="11"/>
      <c r="BJ29" s="11"/>
      <c r="BK29" s="11"/>
      <c r="BL29" s="11"/>
      <c r="BM29" s="11">
        <v>60</v>
      </c>
      <c r="BN29" s="11">
        <f>IF(BM3=TRUE,BM29,"")</f>
      </c>
      <c r="BO29" s="12">
        <f>IF(BM4=TRUE,BM29,"")</f>
      </c>
      <c r="BP29" s="11">
        <f>IF(BM5=TRUE,BM29,"")</f>
      </c>
      <c r="BQ29" s="11"/>
      <c r="BR29" s="11"/>
      <c r="BS29" s="16" t="s">
        <v>455</v>
      </c>
      <c r="BT29" s="11">
        <f>IF(BM8,BS29,"")</f>
      </c>
      <c r="BU29" s="11">
        <f>IF(BM13,BU26,"")</f>
      </c>
      <c r="BV29" s="274" t="s">
        <v>5017</v>
      </c>
      <c r="BW29" s="274" t="s">
        <v>5020</v>
      </c>
      <c r="BX29" s="274" t="s">
        <v>5019</v>
      </c>
      <c r="BY29" s="274" t="s">
        <v>3449</v>
      </c>
      <c r="BZ29" s="326" t="s">
        <v>2626</v>
      </c>
      <c r="CA29" s="276" t="s">
        <v>3885</v>
      </c>
      <c r="CB29" s="250" t="s">
        <v>3888</v>
      </c>
      <c r="CC29" s="15" t="str">
        <f>CHOOSE(BP20,BF120,"-")</f>
        <v>-</v>
      </c>
      <c r="CD29" s="15" t="str">
        <f>CHOOSE(BP20,BG120,"-")</f>
        <v>-</v>
      </c>
      <c r="CE29" s="135" t="str">
        <f>CHOOSE(BP20,BH120,"-")</f>
        <v>-</v>
      </c>
      <c r="CF29" s="15" t="str">
        <f>CHOOSE(BP20,BK120,"-")</f>
        <v>-</v>
      </c>
      <c r="CG29" s="27" t="s">
        <v>2115</v>
      </c>
      <c r="CH29" s="15">
        <f t="shared" si="1"/>
        <v>1</v>
      </c>
      <c r="CK29" s="2">
        <f t="shared" si="2"/>
      </c>
      <c r="CL29" s="27"/>
      <c r="CM29" s="27"/>
      <c r="CN29" s="33"/>
      <c r="CO29" s="27"/>
      <c r="CP29" s="27"/>
      <c r="CS29" s="27"/>
      <c r="CT29" s="27"/>
      <c r="CU29" s="27"/>
      <c r="CV29" s="33"/>
      <c r="CW29" s="27"/>
      <c r="CX29" s="311"/>
      <c r="CY29" s="270"/>
      <c r="CZ29" s="308" t="b">
        <f>AND(CZ3,CZ4=DA10)</f>
        <v>0</v>
      </c>
      <c r="DA29" s="270">
        <f>IF($V$5=3,$CY$8+0,$CY$8+10)</f>
        <v>1</v>
      </c>
      <c r="DB29" s="270">
        <f t="shared" si="10"/>
        <v>0</v>
      </c>
      <c r="DC29" s="312"/>
      <c r="DD29" s="33"/>
      <c r="DE29" s="27"/>
      <c r="DF29" s="27"/>
      <c r="DZ29" s="26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269"/>
    </row>
    <row r="30" spans="1:141" ht="15" customHeight="1" thickBot="1">
      <c r="A30" s="106"/>
      <c r="B30" s="106"/>
      <c r="C30" s="108" t="str">
        <f>EU14</f>
        <v>Zaplombování spouště</v>
      </c>
      <c r="D30" s="106"/>
      <c r="E30" s="106"/>
      <c r="F30" s="106"/>
      <c r="G30" s="106"/>
      <c r="H30" s="106"/>
      <c r="I30" s="106"/>
      <c r="J30" s="34">
        <f>IF($F$24="a",CC61,"")</f>
      </c>
      <c r="K30" s="34">
        <f>IF($F$24="a",CD61,"")</f>
      </c>
      <c r="L30" s="123">
        <f>IF($F$24="a",C69,"")</f>
      </c>
      <c r="M30" s="106"/>
      <c r="N30" s="106"/>
      <c r="P30" s="2" t="b">
        <f>OR(P29,Q10=1,BM12)</f>
        <v>1</v>
      </c>
      <c r="Q30" s="2" t="b">
        <f>AND(Q10=2,BM11=FALSE,Q26,BM12=FALSE)</f>
        <v>0</v>
      </c>
      <c r="R30" s="30" t="s">
        <v>4878</v>
      </c>
      <c r="S30" s="256" t="b">
        <f>OR(AND(AY7=1,R26=FALSE),AND(AY7=2,BM13=FALSE,R26=FALSE))</f>
        <v>1</v>
      </c>
      <c r="T30" s="1">
        <f>IF(S30,1,0)</f>
        <v>1</v>
      </c>
      <c r="U30" s="1"/>
      <c r="V30" s="1"/>
      <c r="W30" s="1"/>
      <c r="X30" s="1"/>
      <c r="Y30" s="1"/>
      <c r="Z30" s="1"/>
      <c r="AA30" s="1"/>
      <c r="AB30" s="1"/>
      <c r="AO30" s="3"/>
      <c r="AU30" s="2">
        <v>1</v>
      </c>
      <c r="AV30" s="27">
        <v>5</v>
      </c>
      <c r="AW30" s="27" t="s">
        <v>5004</v>
      </c>
      <c r="AX30" s="29" t="s">
        <v>5000</v>
      </c>
      <c r="AY30" s="31" t="s">
        <v>5008</v>
      </c>
      <c r="AZ30" s="4"/>
      <c r="BA30" s="3"/>
      <c r="BB30" s="3"/>
      <c r="BC30" s="3"/>
      <c r="BF30"/>
      <c r="BG30"/>
      <c r="BH30"/>
      <c r="BI30" s="11"/>
      <c r="BJ30" s="11"/>
      <c r="BK30" s="11"/>
      <c r="BL30" s="11"/>
      <c r="BM30" s="11" t="s">
        <v>3729</v>
      </c>
      <c r="BN30" s="11">
        <f>IF(BM3=TRUE,BM30,"")</f>
      </c>
      <c r="BO30" s="12">
        <f>IF(BM4=TRUE,BM30,"")</f>
      </c>
      <c r="BP30" s="11">
        <f>IF(BM5=TRUE,BM30,"")</f>
      </c>
      <c r="BQ30" s="11"/>
      <c r="BR30" s="11"/>
      <c r="BS30" s="11"/>
      <c r="BT30" s="11"/>
      <c r="BU30" s="11">
        <f>IF(BM13,BU27,"")</f>
      </c>
      <c r="BV30" s="138" t="s">
        <v>3211</v>
      </c>
      <c r="BW30" s="138" t="s">
        <v>551</v>
      </c>
      <c r="BX30" s="138">
        <v>1</v>
      </c>
      <c r="BY30" s="138" t="s">
        <v>4994</v>
      </c>
      <c r="BZ30" s="275">
        <v>3</v>
      </c>
      <c r="CA30" s="275" t="s">
        <v>3886</v>
      </c>
      <c r="CB30" s="2">
        <v>5</v>
      </c>
      <c r="CC30" s="15" t="str">
        <f>CHOOSE(BN21,BF121,"-")</f>
        <v>-</v>
      </c>
      <c r="CD30" s="15" t="str">
        <f>CHOOSE(BN21,BG121,"-")</f>
        <v>-</v>
      </c>
      <c r="CE30" s="135" t="str">
        <f>CHOOSE(BN21,BH121,"-")</f>
        <v>-</v>
      </c>
      <c r="CF30" s="15" t="str">
        <f>CHOOSE(BN21,BK121,"-")</f>
        <v>-</v>
      </c>
      <c r="CG30" s="27" t="str">
        <f>IF(V6="pevné","j","p")</f>
        <v>p</v>
      </c>
      <c r="CH30" s="15">
        <f t="shared" si="1"/>
        <v>1</v>
      </c>
      <c r="CK30" s="2">
        <f t="shared" si="2"/>
      </c>
      <c r="CL30" s="15"/>
      <c r="CM30" s="15"/>
      <c r="CN30" s="15"/>
      <c r="CO30" s="27"/>
      <c r="CP30" s="15"/>
      <c r="CS30" s="15"/>
      <c r="CT30" s="15"/>
      <c r="CU30" s="15"/>
      <c r="CV30" s="15"/>
      <c r="CW30" s="27"/>
      <c r="CX30" s="313"/>
      <c r="CY30" s="270"/>
      <c r="CZ30" s="308"/>
      <c r="DA30" s="254">
        <f>SUM(DB21:DB29)</f>
        <v>0</v>
      </c>
      <c r="DB30" s="22">
        <f>IF(DA30=0,22,DA30)</f>
        <v>22</v>
      </c>
      <c r="DC30" s="314"/>
      <c r="DD30" s="15"/>
      <c r="DE30" s="27"/>
      <c r="DF30" s="15"/>
      <c r="DZ30" s="271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3"/>
    </row>
    <row r="31" spans="1:110" ht="15" customHeight="1" thickBot="1">
      <c r="A31" s="106"/>
      <c r="B31" s="106"/>
      <c r="C31" s="106"/>
      <c r="D31" s="106"/>
      <c r="E31" s="106"/>
      <c r="F31" s="106"/>
      <c r="G31" s="106"/>
      <c r="H31" s="106"/>
      <c r="I31" s="106"/>
      <c r="J31" s="34">
        <f>IF($F$24="a",CC62,"")</f>
      </c>
      <c r="K31" s="34">
        <f>IF($F$24="a",CD62,"")</f>
      </c>
      <c r="L31" s="123">
        <f>IF($F$24="a",C70,"")</f>
      </c>
      <c r="M31" s="106"/>
      <c r="N31" s="106"/>
      <c r="Q31" s="2" t="str">
        <f>IF(Q30,Q28,Q27)</f>
        <v>Zlacené pomocné kontakty</v>
      </c>
      <c r="R31" s="256">
        <f>CHOOSE(T34,R27,R28,R30,R29)</f>
        <v>0</v>
      </c>
      <c r="S31" s="256" t="b">
        <f>AND(AY7=2,BM13)</f>
        <v>0</v>
      </c>
      <c r="T31" s="1">
        <f>IF(S31,2,0)</f>
        <v>0</v>
      </c>
      <c r="U31" s="1"/>
      <c r="V31" s="1"/>
      <c r="W31" s="1"/>
      <c r="X31" s="1"/>
      <c r="Y31" s="1"/>
      <c r="Z31" s="1"/>
      <c r="AA31" s="1"/>
      <c r="AB31" s="1"/>
      <c r="AO31" s="3"/>
      <c r="AU31" s="2">
        <v>1</v>
      </c>
      <c r="AV31" s="27">
        <v>6</v>
      </c>
      <c r="AW31" s="27">
        <v>65</v>
      </c>
      <c r="AX31" s="29" t="s">
        <v>5000</v>
      </c>
      <c r="AY31" s="31" t="s">
        <v>5009</v>
      </c>
      <c r="AZ31" s="4"/>
      <c r="BA31" s="3"/>
      <c r="BB31" s="3"/>
      <c r="BC31" s="3"/>
      <c r="BF31"/>
      <c r="BG31"/>
      <c r="BH31"/>
      <c r="BI31" s="11"/>
      <c r="BJ31" s="11"/>
      <c r="BK31" s="11"/>
      <c r="BL31" s="11"/>
      <c r="BM31" s="11" t="s">
        <v>2265</v>
      </c>
      <c r="BN31" s="11">
        <f>IF(BM3=TRUE,BM31,"")</f>
      </c>
      <c r="BO31" s="12">
        <f>IF(BM4=TRUE,BM31,"")</f>
      </c>
      <c r="BP31" s="11">
        <f>IF(BM5=TRUE,BM31,"")</f>
      </c>
      <c r="BQ31" s="11"/>
      <c r="BR31" s="11"/>
      <c r="BS31" s="11"/>
      <c r="BT31" s="11"/>
      <c r="BU31" s="11"/>
      <c r="BV31" s="138" t="s">
        <v>3211</v>
      </c>
      <c r="BW31" s="138" t="s">
        <v>551</v>
      </c>
      <c r="BX31" s="138">
        <v>1</v>
      </c>
      <c r="BY31" s="138" t="s">
        <v>4997</v>
      </c>
      <c r="BZ31" s="275">
        <v>3</v>
      </c>
      <c r="CA31" s="275" t="s">
        <v>3886</v>
      </c>
      <c r="CB31" s="2">
        <v>5</v>
      </c>
      <c r="CC31" s="15" t="str">
        <f>CHOOSE($DR$20,$BF$142,$BF$143,$BF$144,$BF$145,$BF$146,$BF$147,$BF$148,$BF$149,"-")</f>
        <v>-</v>
      </c>
      <c r="CD31" s="15" t="str">
        <f>CHOOSE($DR$20,$BG$142,$BG$143,$BG$144,$BG$145,$BG$146,$BG$147,$BG$148,$BG$149,"-")</f>
        <v>-</v>
      </c>
      <c r="CE31" s="135" t="str">
        <f>CHOOSE($DR$20,$BH$142,$BH$143,$BH$144,$BH$145,$BH$146,$BH$147,$BH$148,$BH$149,"-")</f>
        <v>-</v>
      </c>
      <c r="CF31" s="15" t="str">
        <f>CHOOSE($DR$20,$BK$142,$BK$143,$BK$144,$BK$145,$BK$146,$BK$147,$BK$148,$BK$149,"-")</f>
        <v>-</v>
      </c>
      <c r="CG31" s="15" t="s">
        <v>2114</v>
      </c>
      <c r="CH31" s="15">
        <f t="shared" si="1"/>
        <v>1</v>
      </c>
      <c r="CK31" s="2">
        <f t="shared" si="2"/>
      </c>
      <c r="CL31" s="15"/>
      <c r="CM31" s="15"/>
      <c r="CN31" s="15"/>
      <c r="CO31" s="27"/>
      <c r="CP31" s="15"/>
      <c r="CR31" s="2">
        <f>IF(CS31="","","2-03")</f>
      </c>
      <c r="CS31" s="15"/>
      <c r="CT31" s="15"/>
      <c r="CU31" s="15"/>
      <c r="CV31" s="15"/>
      <c r="CW31" s="27"/>
      <c r="CX31" s="315"/>
      <c r="CY31" s="316"/>
      <c r="CZ31" s="317">
        <f>IF(DA31="","","4")</f>
      </c>
      <c r="DA31" s="318"/>
      <c r="DB31" s="318"/>
      <c r="DC31" s="319"/>
      <c r="DD31" s="15"/>
      <c r="DE31" s="27"/>
      <c r="DF31" s="15"/>
    </row>
    <row r="32" spans="1:89" ht="13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9"/>
      <c r="M32" s="106"/>
      <c r="N32" s="106"/>
      <c r="R32" s="256" t="b">
        <f>OR(S32,S33)</f>
        <v>0</v>
      </c>
      <c r="S32" s="256" t="b">
        <f>AND(AY7=2,BM13=FALSE,R26)</f>
        <v>0</v>
      </c>
      <c r="T32" s="1">
        <f>IF(S32,3,0)</f>
        <v>0</v>
      </c>
      <c r="U32" s="1"/>
      <c r="V32" s="1"/>
      <c r="W32" s="1"/>
      <c r="X32" s="1"/>
      <c r="Y32" s="1"/>
      <c r="Z32" s="1"/>
      <c r="AA32" s="1"/>
      <c r="AB32" s="1"/>
      <c r="AO32" s="3"/>
      <c r="AU32" s="2">
        <v>1</v>
      </c>
      <c r="AV32" s="27">
        <v>6</v>
      </c>
      <c r="AW32" s="27">
        <v>75</v>
      </c>
      <c r="AX32" s="29" t="s">
        <v>5000</v>
      </c>
      <c r="AY32" s="31" t="s">
        <v>5001</v>
      </c>
      <c r="AZ32" s="4"/>
      <c r="BA32" s="3"/>
      <c r="BB32" s="3"/>
      <c r="BC32" s="3"/>
      <c r="BF32"/>
      <c r="BG32"/>
      <c r="BH32"/>
      <c r="BI32" s="11"/>
      <c r="BJ32" s="11"/>
      <c r="BK32" s="11"/>
      <c r="BL32" s="11"/>
      <c r="BM32" s="11" t="s">
        <v>2266</v>
      </c>
      <c r="BN32" s="11">
        <f>IF(BM3=TRUE,BM32,"")</f>
      </c>
      <c r="BO32" s="12">
        <f>IF(BM4=TRUE,BM32,"")</f>
      </c>
      <c r="BP32" s="11">
        <f>IF(BM5=TRUE,BM32,"")</f>
      </c>
      <c r="BQ32" s="11"/>
      <c r="BR32" s="11"/>
      <c r="BS32" s="11"/>
      <c r="BT32" s="11"/>
      <c r="BU32" s="11"/>
      <c r="BV32" s="138" t="s">
        <v>3211</v>
      </c>
      <c r="BW32" s="138" t="s">
        <v>551</v>
      </c>
      <c r="BX32" s="138">
        <v>1</v>
      </c>
      <c r="BY32" s="138" t="s">
        <v>5000</v>
      </c>
      <c r="BZ32" s="275">
        <v>3</v>
      </c>
      <c r="CA32" s="275" t="s">
        <v>3886</v>
      </c>
      <c r="CB32" s="2">
        <v>5</v>
      </c>
      <c r="CC32" s="15" t="str">
        <f>CHOOSE($CB$27,$BF$125,$BF$126,$BF$127,$BF$128,$BF$129,"-")</f>
        <v>-</v>
      </c>
      <c r="CD32" s="15" t="str">
        <f>CHOOSE($CB$27,$BG$125,$BG$126,$BG$127,$BG$128,$BG$129,"-")</f>
        <v>-</v>
      </c>
      <c r="CE32" s="135" t="str">
        <f>CHOOSE($CB$27,$BH$125,$BH$126,$BH$127,$BH$128,$BH$129,"-")</f>
        <v>-</v>
      </c>
      <c r="CF32" s="15" t="str">
        <f>CHOOSE($CB$27,$BK$125,$BK$126,$BK$127,$BK$128,$BK$129,"-")</f>
        <v>-</v>
      </c>
      <c r="CG32" s="27" t="s">
        <v>2113</v>
      </c>
      <c r="CH32" s="15">
        <f t="shared" si="1"/>
        <v>1</v>
      </c>
      <c r="CK32" s="2">
        <f t="shared" si="2"/>
      </c>
    </row>
    <row r="33" spans="1:89" ht="18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9"/>
      <c r="M33" s="106"/>
      <c r="N33" s="106"/>
      <c r="R33" s="256"/>
      <c r="S33" s="256" t="b">
        <f>AND(AY7=1,R26)</f>
        <v>0</v>
      </c>
      <c r="T33" s="1">
        <f>IF(S33,4,0)</f>
        <v>0</v>
      </c>
      <c r="U33" s="1"/>
      <c r="V33" s="1"/>
      <c r="W33" s="1"/>
      <c r="X33" s="1"/>
      <c r="Y33" s="1"/>
      <c r="Z33" s="1"/>
      <c r="AA33" s="1"/>
      <c r="AB33" s="1"/>
      <c r="AO33" s="3"/>
      <c r="AU33" s="2">
        <v>1</v>
      </c>
      <c r="AV33" s="27">
        <v>6</v>
      </c>
      <c r="AW33" s="28" t="s">
        <v>3537</v>
      </c>
      <c r="AX33" s="29" t="s">
        <v>5000</v>
      </c>
      <c r="AY33" s="31" t="s">
        <v>5002</v>
      </c>
      <c r="AZ33" s="4"/>
      <c r="BA33" s="3"/>
      <c r="BB33" s="3"/>
      <c r="BC33" s="3"/>
      <c r="BF33"/>
      <c r="BG33"/>
      <c r="BH33"/>
      <c r="BI33" s="11"/>
      <c r="BJ33" s="11"/>
      <c r="BK33" s="11"/>
      <c r="BL33" s="11"/>
      <c r="BM33" s="11" t="s">
        <v>2268</v>
      </c>
      <c r="BN33" s="11">
        <f>IF(BM3=TRUE,BM33,"")</f>
      </c>
      <c r="BO33" s="12">
        <f>IF(BM4=TRUE,BM33,"")</f>
      </c>
      <c r="BP33" s="11">
        <f>IF(BM5=TRUE,BM33,"")</f>
      </c>
      <c r="BQ33" s="11"/>
      <c r="BR33" s="11"/>
      <c r="BS33" s="11"/>
      <c r="BT33" s="11"/>
      <c r="BU33" s="11"/>
      <c r="BV33" s="138" t="s">
        <v>3211</v>
      </c>
      <c r="BW33" s="138" t="s">
        <v>551</v>
      </c>
      <c r="BX33" s="138">
        <v>1</v>
      </c>
      <c r="BY33" s="138" t="s">
        <v>5010</v>
      </c>
      <c r="BZ33" s="275">
        <v>3</v>
      </c>
      <c r="CA33" s="275" t="s">
        <v>3886</v>
      </c>
      <c r="CB33" s="2">
        <v>5</v>
      </c>
      <c r="CC33" s="15" t="str">
        <f>CHOOSE($DR$11,$BF$150,$BF$150,$BF$151,$BF$150,"-")</f>
        <v>-</v>
      </c>
      <c r="CD33" s="15" t="str">
        <f>CHOOSE($DR$11,$BG$150,$BG$150,$BG$151,$BG$150,"-")</f>
        <v>-</v>
      </c>
      <c r="CE33" s="135" t="str">
        <f>CHOOSE($DR$11,$BH$150,$BH$150,$BH$151,$BH$150,"-")</f>
        <v>-</v>
      </c>
      <c r="CF33" s="15" t="str">
        <f>CHOOSE($DR$11,$BK$150,$BK$150,$BK$151,$BK$150,"-")</f>
        <v>-</v>
      </c>
      <c r="CG33" s="27" t="str">
        <f>IF($V$6="pevné","j","p")</f>
        <v>p</v>
      </c>
      <c r="CH33" s="15">
        <f t="shared" si="1"/>
        <v>1</v>
      </c>
      <c r="CK33" s="2">
        <f t="shared" si="2"/>
      </c>
    </row>
    <row r="34" spans="18:89" ht="18" customHeight="1">
      <c r="R34" s="256"/>
      <c r="S34" s="256"/>
      <c r="T34" s="1">
        <f>SUM(T30:T33)</f>
        <v>1</v>
      </c>
      <c r="U34" s="1"/>
      <c r="V34" s="1"/>
      <c r="W34" s="1"/>
      <c r="X34" s="1"/>
      <c r="Y34" s="1"/>
      <c r="Z34" s="1"/>
      <c r="AA34" s="1"/>
      <c r="AB34" s="1"/>
      <c r="AO34" s="3"/>
      <c r="AU34" s="2">
        <v>1</v>
      </c>
      <c r="AV34" s="27">
        <v>6</v>
      </c>
      <c r="AW34" s="28" t="s">
        <v>3538</v>
      </c>
      <c r="AX34" s="29" t="s">
        <v>5010</v>
      </c>
      <c r="AY34" s="31" t="s">
        <v>5011</v>
      </c>
      <c r="AZ34" s="4"/>
      <c r="BA34" s="3"/>
      <c r="BB34" s="3"/>
      <c r="BC34" s="3"/>
      <c r="BF34"/>
      <c r="BG34"/>
      <c r="BH34"/>
      <c r="BI34" s="11"/>
      <c r="BJ34" s="11"/>
      <c r="BK34" s="11"/>
      <c r="BL34" s="11"/>
      <c r="BM34" s="11" t="s">
        <v>3730</v>
      </c>
      <c r="BN34" s="11">
        <f>IF(BM3=TRUE,BM34,"")</f>
      </c>
      <c r="BO34" s="12">
        <f>IF(BM4=TRUE,BM34,"")</f>
      </c>
      <c r="BP34" s="11">
        <f>IF(BM5=TRUE,BM34,"")</f>
      </c>
      <c r="BQ34" s="11"/>
      <c r="BR34" s="11"/>
      <c r="BS34" s="11"/>
      <c r="BT34" s="11"/>
      <c r="BU34" s="11"/>
      <c r="BV34" s="138" t="s">
        <v>3211</v>
      </c>
      <c r="BW34" s="138" t="s">
        <v>551</v>
      </c>
      <c r="BX34" s="138">
        <v>1</v>
      </c>
      <c r="BY34" s="138" t="s">
        <v>5012</v>
      </c>
      <c r="BZ34" s="275">
        <v>3</v>
      </c>
      <c r="CA34" s="275" t="s">
        <v>3886</v>
      </c>
      <c r="CB34" s="2">
        <v>5</v>
      </c>
      <c r="CC34" s="15" t="str">
        <f>CHOOSE($CB$28,$BF$124,"-")</f>
        <v>-</v>
      </c>
      <c r="CD34" s="15" t="str">
        <f>CHOOSE($CB$28,$BG$124,"-")</f>
        <v>-</v>
      </c>
      <c r="CE34" s="135" t="str">
        <f>CHOOSE($CB$28,$BH$124,"-")</f>
        <v>-</v>
      </c>
      <c r="CF34" s="15" t="str">
        <f>CHOOSE($CB$28,$BK$124,"-")</f>
        <v>-</v>
      </c>
      <c r="CG34" s="27" t="s">
        <v>2113</v>
      </c>
      <c r="CH34" s="15">
        <f t="shared" si="1"/>
        <v>1</v>
      </c>
      <c r="CK34" s="2">
        <f t="shared" si="2"/>
      </c>
    </row>
    <row r="35" spans="18:89" ht="18">
      <c r="R35" s="256"/>
      <c r="S35" s="256"/>
      <c r="T35" s="1"/>
      <c r="U35" s="1"/>
      <c r="V35" s="1"/>
      <c r="W35" s="1"/>
      <c r="X35" s="1"/>
      <c r="Y35" s="1"/>
      <c r="Z35" s="1"/>
      <c r="AA35" s="1"/>
      <c r="AB35" s="1"/>
      <c r="AO35" s="3"/>
      <c r="AU35" s="2">
        <v>1</v>
      </c>
      <c r="AV35" s="27">
        <v>6</v>
      </c>
      <c r="AW35" s="27">
        <v>150</v>
      </c>
      <c r="AX35" s="29" t="s">
        <v>5012</v>
      </c>
      <c r="AY35" s="31" t="s">
        <v>5013</v>
      </c>
      <c r="AZ35" s="4"/>
      <c r="BA35" s="3"/>
      <c r="BB35" s="3"/>
      <c r="BC35" s="3"/>
      <c r="BF35"/>
      <c r="BG35"/>
      <c r="BH35"/>
      <c r="BI35" s="11"/>
      <c r="BJ35" s="11"/>
      <c r="BK35" s="11"/>
      <c r="BL35" s="11"/>
      <c r="BM35" s="11" t="s">
        <v>483</v>
      </c>
      <c r="BN35" s="11">
        <f>IF(BM3=TRUE,BM35,"")</f>
      </c>
      <c r="BO35" s="12">
        <f>IF(BM4=TRUE,BM35,"")</f>
      </c>
      <c r="BP35" s="11">
        <f>IF(BM5=TRUE,BM35,"")</f>
      </c>
      <c r="BQ35" s="11"/>
      <c r="BR35" s="11"/>
      <c r="BS35" s="11"/>
      <c r="BT35" s="11"/>
      <c r="BU35" s="11"/>
      <c r="BV35" s="138" t="s">
        <v>3211</v>
      </c>
      <c r="BW35" s="138" t="s">
        <v>551</v>
      </c>
      <c r="BX35" s="138">
        <v>1</v>
      </c>
      <c r="BY35" s="138" t="s">
        <v>4994</v>
      </c>
      <c r="BZ35" s="275">
        <v>4</v>
      </c>
      <c r="CA35" s="275" t="s">
        <v>3886</v>
      </c>
      <c r="CB35" s="2">
        <v>5</v>
      </c>
      <c r="CC35" s="15" t="str">
        <f>CHOOSE($BN$22,$BF$123,"-")</f>
        <v>-</v>
      </c>
      <c r="CD35" s="15" t="str">
        <f>CHOOSE($BN$22,$BG$123,"-")</f>
        <v>-</v>
      </c>
      <c r="CE35" s="135" t="str">
        <f>CHOOSE($BN$22,$BH$123,"-")</f>
        <v>-</v>
      </c>
      <c r="CF35" s="15" t="str">
        <f>CHOOSE($BN$22,$BK$123,"-")</f>
        <v>-</v>
      </c>
      <c r="CG35" s="27" t="s">
        <v>2114</v>
      </c>
      <c r="CH35" s="15">
        <f t="shared" si="1"/>
        <v>1</v>
      </c>
      <c r="CK35" s="2">
        <f t="shared" si="2"/>
      </c>
    </row>
    <row r="36" spans="18:89" ht="18">
      <c r="R36" s="256"/>
      <c r="S36" s="256"/>
      <c r="T36" s="1"/>
      <c r="U36" s="1"/>
      <c r="V36" s="1"/>
      <c r="W36" s="1"/>
      <c r="X36" s="1"/>
      <c r="Y36" s="1"/>
      <c r="Z36" s="1"/>
      <c r="AA36" s="1"/>
      <c r="AB36" s="1"/>
      <c r="AO36" s="3"/>
      <c r="AU36" s="2">
        <v>1</v>
      </c>
      <c r="AV36" s="27">
        <v>7</v>
      </c>
      <c r="AW36" s="27">
        <v>75</v>
      </c>
      <c r="AX36" s="29" t="s">
        <v>5010</v>
      </c>
      <c r="AY36" s="31" t="s">
        <v>5001</v>
      </c>
      <c r="AZ36" s="4"/>
      <c r="BA36" s="3"/>
      <c r="BB36" s="3"/>
      <c r="BC36" s="3"/>
      <c r="BF36"/>
      <c r="BG36"/>
      <c r="BH36"/>
      <c r="BI36" s="11"/>
      <c r="BJ36" s="11"/>
      <c r="BK36" s="11"/>
      <c r="BL36" s="11"/>
      <c r="BM36" s="11"/>
      <c r="BN36" s="11"/>
      <c r="BO36" s="12"/>
      <c r="BP36" s="11"/>
      <c r="BQ36" s="11"/>
      <c r="BR36" s="11"/>
      <c r="BS36" s="11"/>
      <c r="BT36" s="11"/>
      <c r="BU36" s="11"/>
      <c r="BV36" s="138" t="s">
        <v>3211</v>
      </c>
      <c r="BW36" s="138" t="s">
        <v>551</v>
      </c>
      <c r="BX36" s="138">
        <v>1</v>
      </c>
      <c r="BY36" s="138" t="s">
        <v>4997</v>
      </c>
      <c r="BZ36" s="275">
        <v>4</v>
      </c>
      <c r="CA36" s="275" t="s">
        <v>3886</v>
      </c>
      <c r="CB36" s="2">
        <v>5</v>
      </c>
      <c r="CC36" s="2" t="str">
        <f>CHOOSE($EO$10,BF199,"-")</f>
        <v>-</v>
      </c>
      <c r="CD36" s="2" t="str">
        <f>CHOOSE($EO$10,BG199,"-")</f>
        <v>-</v>
      </c>
      <c r="CE36" s="2" t="str">
        <f>CHOOSE($EO$10,BH199,"-")</f>
        <v>-</v>
      </c>
      <c r="CF36" s="2" t="str">
        <f>CHOOSE($EO$10,BK199,"-")</f>
        <v>-</v>
      </c>
      <c r="CG36" s="27" t="s">
        <v>2114</v>
      </c>
      <c r="CH36" s="15">
        <f t="shared" si="1"/>
        <v>1</v>
      </c>
      <c r="CK36" s="2">
        <f t="shared" si="2"/>
      </c>
    </row>
    <row r="37" spans="15:86" ht="18">
      <c r="O37" s="2" t="s">
        <v>2812</v>
      </c>
      <c r="P37" s="224">
        <f>G22/100</f>
        <v>0</v>
      </c>
      <c r="R37" s="256"/>
      <c r="S37" s="256"/>
      <c r="T37" s="1"/>
      <c r="U37" s="1"/>
      <c r="V37" s="1"/>
      <c r="W37" s="1"/>
      <c r="X37" s="1"/>
      <c r="Y37" s="1"/>
      <c r="Z37" s="1"/>
      <c r="AA37" s="1"/>
      <c r="AB37" s="1"/>
      <c r="AO37" s="3"/>
      <c r="AU37" s="2">
        <v>1</v>
      </c>
      <c r="AV37" s="27">
        <v>7</v>
      </c>
      <c r="AW37" s="27">
        <v>100</v>
      </c>
      <c r="AX37" s="29" t="s">
        <v>5010</v>
      </c>
      <c r="AY37" s="31" t="s">
        <v>5011</v>
      </c>
      <c r="AZ37" s="4"/>
      <c r="BA37" s="3"/>
      <c r="BB37" s="3"/>
      <c r="BC37" s="3"/>
      <c r="BF37"/>
      <c r="BG37"/>
      <c r="BH37"/>
      <c r="BI37" s="11"/>
      <c r="BJ37" s="11"/>
      <c r="BK37" s="11"/>
      <c r="BL37" s="11"/>
      <c r="BM37" s="11" t="s">
        <v>484</v>
      </c>
      <c r="BN37" s="11" t="s">
        <v>484</v>
      </c>
      <c r="BO37" s="12" t="s">
        <v>485</v>
      </c>
      <c r="BP37" s="11"/>
      <c r="BQ37" s="11"/>
      <c r="BR37" s="11"/>
      <c r="BS37" s="11"/>
      <c r="BT37" s="11"/>
      <c r="BU37" s="11"/>
      <c r="BV37" s="138" t="s">
        <v>3211</v>
      </c>
      <c r="BW37" s="138" t="s">
        <v>551</v>
      </c>
      <c r="BX37" s="138">
        <v>1</v>
      </c>
      <c r="BY37" s="138" t="s">
        <v>5000</v>
      </c>
      <c r="BZ37" s="275">
        <v>4</v>
      </c>
      <c r="CA37" s="275" t="s">
        <v>3886</v>
      </c>
      <c r="CB37" s="2">
        <v>5</v>
      </c>
      <c r="CC37" s="2" t="str">
        <f>CHOOSE($EV$7,BF200,"-")</f>
        <v>-</v>
      </c>
      <c r="CD37" s="2" t="str">
        <f>CHOOSE($EV$7,BG200,"-")</f>
        <v>-</v>
      </c>
      <c r="CE37" s="2" t="str">
        <f>CHOOSE($EV$7,BH200,"-")</f>
        <v>-</v>
      </c>
      <c r="CF37" s="2" t="str">
        <f>CHOOSE($EV$7,BK200,"-")</f>
        <v>-</v>
      </c>
      <c r="CG37" s="27" t="s">
        <v>2113</v>
      </c>
      <c r="CH37" s="15">
        <f t="shared" si="1"/>
        <v>1</v>
      </c>
    </row>
    <row r="38" spans="15:110" ht="18">
      <c r="O38" s="2" t="s">
        <v>3541</v>
      </c>
      <c r="P38" s="225">
        <f>1-P37</f>
        <v>1</v>
      </c>
      <c r="R38" s="256"/>
      <c r="S38" s="256"/>
      <c r="T38" s="1"/>
      <c r="U38" s="1"/>
      <c r="V38" s="1"/>
      <c r="W38" s="1"/>
      <c r="X38" s="1"/>
      <c r="Y38" s="1"/>
      <c r="Z38" s="1"/>
      <c r="AA38" s="1"/>
      <c r="AB38" s="1"/>
      <c r="AO38" s="3"/>
      <c r="AU38" s="2">
        <v>1</v>
      </c>
      <c r="AV38" s="27">
        <v>7</v>
      </c>
      <c r="AW38" s="27">
        <v>150</v>
      </c>
      <c r="AX38" s="29" t="s">
        <v>5012</v>
      </c>
      <c r="AY38" s="31" t="s">
        <v>5013</v>
      </c>
      <c r="AZ38" s="4"/>
      <c r="BA38" s="3"/>
      <c r="BB38" s="3"/>
      <c r="BC38" s="3"/>
      <c r="BF38"/>
      <c r="BG38"/>
      <c r="BH38"/>
      <c r="BI38" s="11"/>
      <c r="BJ38" s="11"/>
      <c r="BK38" s="11"/>
      <c r="BL38" s="11"/>
      <c r="BM38" s="11" t="s">
        <v>486</v>
      </c>
      <c r="BN38" s="11">
        <f>IF(BM15,BM38,"")</f>
      </c>
      <c r="BO38" s="12">
        <f>IF(BN18,BM38,"")</f>
      </c>
      <c r="BP38" s="11"/>
      <c r="BQ38" s="11"/>
      <c r="BR38" s="11"/>
      <c r="BS38" s="11"/>
      <c r="BT38" s="11"/>
      <c r="BU38" s="11"/>
      <c r="BV38" s="138" t="s">
        <v>3211</v>
      </c>
      <c r="BW38" s="138" t="s">
        <v>551</v>
      </c>
      <c r="BX38" s="138">
        <v>1</v>
      </c>
      <c r="BY38" s="138" t="s">
        <v>5010</v>
      </c>
      <c r="BZ38" s="275">
        <v>4</v>
      </c>
      <c r="CA38" s="275" t="s">
        <v>3886</v>
      </c>
      <c r="CB38" s="2">
        <v>5</v>
      </c>
      <c r="CC38" s="27" t="s">
        <v>4600</v>
      </c>
      <c r="CD38" s="27" t="s">
        <v>5020</v>
      </c>
      <c r="CE38" s="263" t="s">
        <v>5019</v>
      </c>
      <c r="CF38" s="33" t="s">
        <v>3539</v>
      </c>
      <c r="CG38" s="27" t="s">
        <v>4601</v>
      </c>
      <c r="CH38" s="27" t="s">
        <v>4602</v>
      </c>
      <c r="CK38" s="27" t="s">
        <v>4600</v>
      </c>
      <c r="CL38" s="27" t="s">
        <v>5020</v>
      </c>
      <c r="CM38" s="27" t="s">
        <v>5019</v>
      </c>
      <c r="CN38" s="33" t="s">
        <v>3539</v>
      </c>
      <c r="CO38" s="27" t="s">
        <v>4601</v>
      </c>
      <c r="CP38" s="27" t="s">
        <v>4602</v>
      </c>
      <c r="CS38" s="27" t="s">
        <v>4600</v>
      </c>
      <c r="CT38" s="27" t="s">
        <v>5020</v>
      </c>
      <c r="CU38" s="27" t="s">
        <v>5019</v>
      </c>
      <c r="CV38" s="33" t="s">
        <v>3539</v>
      </c>
      <c r="CW38" s="27" t="s">
        <v>4601</v>
      </c>
      <c r="CX38" s="27" t="s">
        <v>4602</v>
      </c>
      <c r="DA38" s="29" t="s">
        <v>4600</v>
      </c>
      <c r="DB38" s="29" t="s">
        <v>5020</v>
      </c>
      <c r="DC38" s="29" t="s">
        <v>5019</v>
      </c>
      <c r="DD38" s="33" t="s">
        <v>3539</v>
      </c>
      <c r="DE38" s="27" t="s">
        <v>4601</v>
      </c>
      <c r="DF38" s="27" t="s">
        <v>4602</v>
      </c>
    </row>
    <row r="39" spans="18:110" ht="18">
      <c r="R39" s="256"/>
      <c r="S39" s="256"/>
      <c r="T39" s="1"/>
      <c r="U39" s="1"/>
      <c r="V39" s="1"/>
      <c r="W39" s="1"/>
      <c r="X39" s="1"/>
      <c r="Y39" s="1"/>
      <c r="Z39" s="1"/>
      <c r="AA39" s="1"/>
      <c r="AB39" s="1"/>
      <c r="AO39" s="3"/>
      <c r="AU39" s="2">
        <v>1</v>
      </c>
      <c r="AV39" s="27">
        <v>8</v>
      </c>
      <c r="AW39" s="27">
        <v>100</v>
      </c>
      <c r="AX39" s="29" t="s">
        <v>5012</v>
      </c>
      <c r="AY39" s="31" t="s">
        <v>5011</v>
      </c>
      <c r="AZ39" s="4"/>
      <c r="BA39" s="3"/>
      <c r="BB39" s="3"/>
      <c r="BC39" s="3"/>
      <c r="BF39"/>
      <c r="BG39"/>
      <c r="BH39"/>
      <c r="BI39" s="11"/>
      <c r="BJ39" s="11"/>
      <c r="BK39" s="11"/>
      <c r="BL39" s="11"/>
      <c r="BM39" s="11" t="s">
        <v>487</v>
      </c>
      <c r="BN39" s="11">
        <f>IF(BM15,BM39,"")</f>
      </c>
      <c r="BO39" s="12">
        <f>IF(BN18,BM39,"")</f>
      </c>
      <c r="BP39" s="11"/>
      <c r="BQ39" s="11"/>
      <c r="BR39" s="11"/>
      <c r="BS39" s="11"/>
      <c r="BT39" s="11"/>
      <c r="BU39" s="11"/>
      <c r="BV39" s="138" t="s">
        <v>3211</v>
      </c>
      <c r="BW39" s="138" t="s">
        <v>551</v>
      </c>
      <c r="BX39" s="138">
        <v>1</v>
      </c>
      <c r="BY39" s="138" t="s">
        <v>5012</v>
      </c>
      <c r="BZ39" s="275">
        <v>4</v>
      </c>
      <c r="CA39" s="275" t="s">
        <v>3886</v>
      </c>
      <c r="CB39" s="2">
        <v>5</v>
      </c>
      <c r="CC39" s="15"/>
      <c r="CD39" s="15"/>
      <c r="CE39" s="15"/>
      <c r="CF39" s="15"/>
      <c r="CG39" s="27"/>
      <c r="CH39" s="15"/>
      <c r="CJ39" s="2">
        <f>IF(CK39="","","1-02")</f>
      </c>
      <c r="CK39" s="27"/>
      <c r="CL39" s="27"/>
      <c r="CM39" s="27"/>
      <c r="CN39" s="27"/>
      <c r="CO39" s="27"/>
      <c r="CP39" s="15"/>
      <c r="CR39" s="2">
        <f>IF(CS39="","","2-02")</f>
      </c>
      <c r="CS39" s="15"/>
      <c r="CT39" s="15"/>
      <c r="CU39" s="15"/>
      <c r="CV39" s="15"/>
      <c r="CW39" s="27"/>
      <c r="CX39" s="15"/>
      <c r="CZ39" s="275">
        <f>IF(DA39="","","3")</f>
      </c>
      <c r="DA39" s="15"/>
      <c r="DB39" s="15"/>
      <c r="DC39" s="135"/>
      <c r="DD39" s="15"/>
      <c r="DE39" s="27"/>
      <c r="DF39" s="15"/>
    </row>
    <row r="40" spans="18:110" ht="18">
      <c r="R40" s="256"/>
      <c r="S40" s="256"/>
      <c r="T40" s="1"/>
      <c r="U40" s="1"/>
      <c r="V40" s="1"/>
      <c r="W40" s="1"/>
      <c r="X40" s="1"/>
      <c r="Y40" s="1"/>
      <c r="Z40" s="1"/>
      <c r="AA40" s="1"/>
      <c r="AB40" s="1"/>
      <c r="AO40" s="3"/>
      <c r="AU40" s="2">
        <v>1</v>
      </c>
      <c r="AV40" s="27">
        <v>8</v>
      </c>
      <c r="AW40" s="27">
        <v>150</v>
      </c>
      <c r="AX40" s="29" t="s">
        <v>5012</v>
      </c>
      <c r="AY40" s="31" t="s">
        <v>5013</v>
      </c>
      <c r="AZ40" s="4"/>
      <c r="BA40" s="3"/>
      <c r="BB40" s="3"/>
      <c r="BC40" s="3"/>
      <c r="BF40"/>
      <c r="BG40"/>
      <c r="BH40"/>
      <c r="BI40" s="11"/>
      <c r="BJ40" s="11"/>
      <c r="BK40" s="11"/>
      <c r="BL40" s="11"/>
      <c r="BM40" s="11" t="s">
        <v>488</v>
      </c>
      <c r="BN40" s="11">
        <f>IF(BM15,BM40,"")</f>
      </c>
      <c r="BO40" s="12">
        <f>IF(BN18,BM40,"")</f>
      </c>
      <c r="BP40" s="11"/>
      <c r="BQ40" s="11"/>
      <c r="BR40" s="11"/>
      <c r="BS40" s="11"/>
      <c r="BT40" s="11"/>
      <c r="BU40" s="11"/>
      <c r="BV40" s="47" t="s">
        <v>3212</v>
      </c>
      <c r="BW40" s="47" t="s">
        <v>456</v>
      </c>
      <c r="BX40" s="47">
        <v>2</v>
      </c>
      <c r="BY40" s="47" t="s">
        <v>4994</v>
      </c>
      <c r="BZ40" s="48">
        <v>3</v>
      </c>
      <c r="CA40" s="275" t="s">
        <v>3886</v>
      </c>
      <c r="CB40" s="2">
        <v>10</v>
      </c>
      <c r="CC40" s="27"/>
      <c r="CD40" s="27"/>
      <c r="CE40" s="27"/>
      <c r="CF40" s="27"/>
      <c r="CG40" s="27"/>
      <c r="CH40" s="15"/>
      <c r="CJ40" s="2">
        <f>IF(CK40="","","1-03")</f>
      </c>
      <c r="CK40" s="27"/>
      <c r="CL40" s="27"/>
      <c r="CM40" s="27"/>
      <c r="CN40" s="27"/>
      <c r="CO40" s="27"/>
      <c r="CP40" s="15"/>
      <c r="CR40" s="2">
        <f>IF(CS40="","","2-03")</f>
      </c>
      <c r="CS40" s="15"/>
      <c r="CT40" s="15"/>
      <c r="CU40" s="135"/>
      <c r="CV40" s="15"/>
      <c r="CW40" s="27"/>
      <c r="CX40" s="15"/>
      <c r="CZ40" s="275">
        <f>IF(DA40="","","4")</f>
      </c>
      <c r="DA40" s="15"/>
      <c r="DB40" s="15"/>
      <c r="DC40" s="135"/>
      <c r="DD40" s="15"/>
      <c r="DE40" s="15"/>
      <c r="DF40" s="15"/>
    </row>
    <row r="41" spans="18:110" ht="18">
      <c r="R41" s="256"/>
      <c r="S41" s="256"/>
      <c r="T41" s="1" t="str">
        <f>MID(V8,1,5)</f>
        <v>PR111</v>
      </c>
      <c r="U41" s="1"/>
      <c r="V41" s="1"/>
      <c r="W41" s="1"/>
      <c r="X41" s="1"/>
      <c r="Y41" s="1"/>
      <c r="Z41" s="1"/>
      <c r="AA41" s="1"/>
      <c r="AB41" s="1"/>
      <c r="AU41" s="2">
        <v>1</v>
      </c>
      <c r="AV41" s="27">
        <v>9</v>
      </c>
      <c r="AW41" s="27">
        <v>100</v>
      </c>
      <c r="AX41" s="29" t="s">
        <v>5012</v>
      </c>
      <c r="AY41" s="31" t="s">
        <v>5011</v>
      </c>
      <c r="BF41"/>
      <c r="BG41"/>
      <c r="BH41"/>
      <c r="BI41" s="11"/>
      <c r="BJ41" s="11"/>
      <c r="BK41" s="11"/>
      <c r="BL41" s="11"/>
      <c r="BM41" s="11" t="s">
        <v>489</v>
      </c>
      <c r="BN41" s="11">
        <f>IF(BM15,BM41,"")</f>
      </c>
      <c r="BO41" s="12">
        <f>IF(BN18,BM41,"")</f>
      </c>
      <c r="BP41" s="11"/>
      <c r="BQ41" s="11"/>
      <c r="BR41" s="11"/>
      <c r="BS41" s="11"/>
      <c r="BT41" s="11"/>
      <c r="BU41" s="11"/>
      <c r="BV41" s="47" t="s">
        <v>3213</v>
      </c>
      <c r="BW41" s="47" t="s">
        <v>456</v>
      </c>
      <c r="BX41" s="47">
        <v>3</v>
      </c>
      <c r="BY41" s="47" t="s">
        <v>4994</v>
      </c>
      <c r="BZ41" s="48">
        <v>4</v>
      </c>
      <c r="CA41" s="275" t="s">
        <v>3886</v>
      </c>
      <c r="CB41" s="2">
        <v>10</v>
      </c>
      <c r="CC41" s="15"/>
      <c r="CD41" s="15"/>
      <c r="CE41" s="135"/>
      <c r="CF41" s="15"/>
      <c r="CG41" s="27"/>
      <c r="CH41" s="15"/>
      <c r="CJ41" s="2">
        <f>IF(CK41="","","1-04")</f>
      </c>
      <c r="CK41" s="15"/>
      <c r="CL41" s="15"/>
      <c r="CM41" s="135"/>
      <c r="CN41" s="15"/>
      <c r="CO41" s="27"/>
      <c r="CP41" s="15"/>
      <c r="CR41" s="2">
        <f>IF(CS41="","","2-04")</f>
      </c>
      <c r="CS41" s="15"/>
      <c r="CT41" s="15"/>
      <c r="CU41" s="135"/>
      <c r="CV41" s="15"/>
      <c r="CW41" s="27"/>
      <c r="CX41" s="15"/>
      <c r="CZ41" s="275">
        <f>IF(DA41="","","5")</f>
      </c>
      <c r="DA41" s="15"/>
      <c r="DB41" s="15"/>
      <c r="DC41" s="135"/>
      <c r="DD41" s="15"/>
      <c r="DE41" s="27"/>
      <c r="DF41" s="15"/>
    </row>
    <row r="42" spans="15:110" ht="18">
      <c r="O42" s="5" t="s">
        <v>5014</v>
      </c>
      <c r="P42" s="5" t="s">
        <v>5015</v>
      </c>
      <c r="Q42" s="5" t="s">
        <v>5016</v>
      </c>
      <c r="R42" s="256" t="s">
        <v>3446</v>
      </c>
      <c r="S42" s="256" t="s">
        <v>3437</v>
      </c>
      <c r="T42" s="5" t="s">
        <v>3448</v>
      </c>
      <c r="U42" s="5" t="s">
        <v>3452</v>
      </c>
      <c r="V42" s="9" t="s">
        <v>3449</v>
      </c>
      <c r="W42" s="1"/>
      <c r="X42" s="5" t="s">
        <v>3446</v>
      </c>
      <c r="Y42" s="5" t="s">
        <v>3449</v>
      </c>
      <c r="Z42" s="5" t="s">
        <v>5016</v>
      </c>
      <c r="AA42" s="5" t="s">
        <v>3437</v>
      </c>
      <c r="AB42" s="1"/>
      <c r="AU42" s="2">
        <v>1</v>
      </c>
      <c r="AV42" s="27">
        <v>9</v>
      </c>
      <c r="AW42" s="27">
        <v>150</v>
      </c>
      <c r="AX42" s="29" t="s">
        <v>5012</v>
      </c>
      <c r="AY42" s="31" t="s">
        <v>5013</v>
      </c>
      <c r="BF42"/>
      <c r="BG42"/>
      <c r="BH42"/>
      <c r="BI42" s="11"/>
      <c r="BJ42" s="11"/>
      <c r="BK42" s="11"/>
      <c r="BL42" s="11"/>
      <c r="BM42" s="16" t="s">
        <v>490</v>
      </c>
      <c r="BN42" s="11">
        <f>IF(BM15,BM42,"")</f>
      </c>
      <c r="BO42" s="12">
        <f>IF(BN18,BM42,"")</f>
      </c>
      <c r="BP42" s="16"/>
      <c r="BQ42" s="16"/>
      <c r="BR42" s="11"/>
      <c r="BS42" s="11"/>
      <c r="BT42" s="11"/>
      <c r="BU42" s="11"/>
      <c r="BV42" s="47" t="s">
        <v>3212</v>
      </c>
      <c r="BW42" s="47" t="s">
        <v>2267</v>
      </c>
      <c r="BX42" s="47">
        <v>2</v>
      </c>
      <c r="BY42" s="47" t="s">
        <v>4997</v>
      </c>
      <c r="BZ42" s="48">
        <v>3</v>
      </c>
      <c r="CA42" s="275" t="s">
        <v>3886</v>
      </c>
      <c r="CB42" s="2">
        <v>10</v>
      </c>
      <c r="CC42" s="15"/>
      <c r="CD42" s="15"/>
      <c r="CE42" s="135"/>
      <c r="CF42" s="15"/>
      <c r="CG42" s="27"/>
      <c r="CH42" s="15"/>
      <c r="CJ42" s="2">
        <f>IF(CK42="","","1-05")</f>
      </c>
      <c r="CK42" s="15"/>
      <c r="CL42" s="15"/>
      <c r="CM42" s="135"/>
      <c r="CN42" s="15"/>
      <c r="CO42" s="27"/>
      <c r="CP42" s="15"/>
      <c r="CR42" s="2">
        <f>IF(CS42="","","2-05")</f>
      </c>
      <c r="CZ42" s="275">
        <f>IF(DA42="","","6")</f>
      </c>
      <c r="DA42" s="2"/>
      <c r="DB42" s="2"/>
      <c r="DC42" s="2"/>
      <c r="DE42" s="27"/>
      <c r="DF42" s="15"/>
    </row>
    <row r="43" spans="3:104" ht="18">
      <c r="C43" s="2" t="s">
        <v>3542</v>
      </c>
      <c r="G43" s="2" t="s">
        <v>3543</v>
      </c>
      <c r="J43" s="229" t="s">
        <v>3544</v>
      </c>
      <c r="L43" s="229" t="s">
        <v>3545</v>
      </c>
      <c r="O43" s="2">
        <f>V3</f>
        <v>800</v>
      </c>
      <c r="P43" s="2">
        <f>V4</f>
        <v>42</v>
      </c>
      <c r="Q43" s="2">
        <f>V5</f>
        <v>3</v>
      </c>
      <c r="R43" s="256" t="str">
        <f>V6</f>
        <v>Výsuvné</v>
      </c>
      <c r="S43" s="256" t="str">
        <f>W7</f>
        <v>poh. část</v>
      </c>
      <c r="T43" s="1" t="str">
        <f>IF(Q10=1,T41,"MS")</f>
        <v>PR111</v>
      </c>
      <c r="U43" s="1" t="str">
        <f>IF(Q10=1,V9,"-")</f>
        <v>LI.</v>
      </c>
      <c r="V43" s="9" t="str">
        <f>W4</f>
        <v>E1</v>
      </c>
      <c r="W43" s="1"/>
      <c r="X43" s="1" t="str">
        <f>V6</f>
        <v>Výsuvné</v>
      </c>
      <c r="Y43" s="1" t="str">
        <f>IF(X43="výsuvné",W4,"x")</f>
        <v>E1</v>
      </c>
      <c r="Z43" s="1">
        <f>IF(X43="výsuvné",V5,"x")</f>
        <v>3</v>
      </c>
      <c r="AA43" s="1" t="str">
        <f>IF(X43="výsuvné",V7,"x")</f>
        <v>Zadní vodorovné (HR)</v>
      </c>
      <c r="AB43" s="1"/>
      <c r="AU43" s="27">
        <v>2</v>
      </c>
      <c r="AV43" s="27">
        <v>1</v>
      </c>
      <c r="AW43" s="27">
        <v>36</v>
      </c>
      <c r="AX43" s="27" t="s">
        <v>4994</v>
      </c>
      <c r="AY43" s="29" t="s">
        <v>4627</v>
      </c>
      <c r="BF43"/>
      <c r="BG43"/>
      <c r="BH43"/>
      <c r="BI43" s="11"/>
      <c r="BJ43" s="11"/>
      <c r="BK43" s="11"/>
      <c r="BL43" s="11"/>
      <c r="BM43" s="11"/>
      <c r="BN43" s="11"/>
      <c r="BO43" s="12"/>
      <c r="BP43" s="11"/>
      <c r="BQ43" s="11"/>
      <c r="BR43" s="11"/>
      <c r="BS43" s="11"/>
      <c r="BT43" s="11"/>
      <c r="BU43" s="11"/>
      <c r="BV43" s="47" t="s">
        <v>3213</v>
      </c>
      <c r="BW43" s="47" t="s">
        <v>2267</v>
      </c>
      <c r="BX43" s="47">
        <v>3</v>
      </c>
      <c r="BY43" s="47" t="s">
        <v>4997</v>
      </c>
      <c r="BZ43" s="48">
        <v>4</v>
      </c>
      <c r="CA43" s="275" t="s">
        <v>3886</v>
      </c>
      <c r="CB43" s="2">
        <v>10</v>
      </c>
      <c r="CC43" s="27"/>
      <c r="CD43" s="27"/>
      <c r="CE43" s="263"/>
      <c r="CF43" s="27"/>
      <c r="CG43" s="27"/>
      <c r="CH43" s="15"/>
      <c r="CJ43" s="2">
        <f>IF(CK43="","","1-06")</f>
      </c>
      <c r="CK43" s="27"/>
      <c r="CL43" s="27"/>
      <c r="CM43" s="263"/>
      <c r="CN43" s="27"/>
      <c r="CO43" s="27"/>
      <c r="CP43" s="15"/>
      <c r="CR43" s="2">
        <f>IF(CS43="","","2-06")</f>
      </c>
      <c r="CZ43" s="275">
        <f>IF(DA43="","","7")</f>
      </c>
    </row>
    <row r="44" spans="3:94" ht="18">
      <c r="C44" s="226">
        <f>ROUND(Q1531*$P$38,0)</f>
        <v>72710</v>
      </c>
      <c r="G44" s="228">
        <f aca="true" t="shared" si="13" ref="G44:G64">ROUND($P$38*CM39,0)</f>
        <v>0</v>
      </c>
      <c r="J44" s="228">
        <f aca="true" t="shared" si="14" ref="J44:J52">ROUND($P$38*CU39,0)</f>
        <v>0</v>
      </c>
      <c r="L44" s="228">
        <f aca="true" t="shared" si="15" ref="L44:L52">ROUND($P$38*DC39,0)</f>
        <v>0</v>
      </c>
      <c r="R44" s="256"/>
      <c r="S44" s="256"/>
      <c r="T44" s="1"/>
      <c r="U44" s="1"/>
      <c r="V44" s="1"/>
      <c r="W44" s="1"/>
      <c r="X44" s="1"/>
      <c r="Y44" s="1"/>
      <c r="Z44" s="1"/>
      <c r="AA44" s="1"/>
      <c r="AB44" s="1"/>
      <c r="AU44" s="2">
        <v>2</v>
      </c>
      <c r="AV44" s="27">
        <v>1</v>
      </c>
      <c r="AW44" s="27">
        <v>50</v>
      </c>
      <c r="AX44" s="29" t="s">
        <v>4994</v>
      </c>
      <c r="AY44" s="29" t="s">
        <v>2795</v>
      </c>
      <c r="BF44"/>
      <c r="BG44"/>
      <c r="BH44"/>
      <c r="BI44" s="11"/>
      <c r="BJ44" s="11"/>
      <c r="BK44" s="11"/>
      <c r="BL44" s="11"/>
      <c r="BM44" s="11"/>
      <c r="BN44" s="11"/>
      <c r="BO44" s="12"/>
      <c r="BP44" s="11"/>
      <c r="BQ44" s="11"/>
      <c r="BR44" s="11"/>
      <c r="BS44" s="11"/>
      <c r="BT44" s="11"/>
      <c r="BU44" s="11"/>
      <c r="BV44" s="47" t="s">
        <v>3214</v>
      </c>
      <c r="BW44" s="47" t="s">
        <v>2267</v>
      </c>
      <c r="BX44" s="47">
        <v>4</v>
      </c>
      <c r="BY44" s="47" t="s">
        <v>5000</v>
      </c>
      <c r="BZ44" s="48">
        <v>3</v>
      </c>
      <c r="CA44" s="275" t="s">
        <v>3886</v>
      </c>
      <c r="CB44" s="2">
        <v>10</v>
      </c>
      <c r="CC44" s="15"/>
      <c r="CD44" s="15"/>
      <c r="CE44" s="135"/>
      <c r="CF44" s="15"/>
      <c r="CG44" s="27"/>
      <c r="CH44" s="15"/>
      <c r="CJ44" s="2">
        <f>IF(CK44="","","1-09")</f>
      </c>
      <c r="CK44" s="15"/>
      <c r="CL44" s="15"/>
      <c r="CM44" s="135"/>
      <c r="CN44" s="15"/>
      <c r="CO44" s="27"/>
      <c r="CP44" s="15"/>
    </row>
    <row r="45" spans="3:94" ht="18">
      <c r="C45" s="227">
        <f>IF(AG1531="-",AG1531,D45)</f>
        <v>24138</v>
      </c>
      <c r="D45" s="227">
        <f>ROUND(AG1531*$P$38,0)</f>
        <v>24138</v>
      </c>
      <c r="G45" s="228">
        <f t="shared" si="13"/>
        <v>0</v>
      </c>
      <c r="J45" s="228">
        <f t="shared" si="14"/>
        <v>0</v>
      </c>
      <c r="L45" s="228">
        <f t="shared" si="15"/>
        <v>0</v>
      </c>
      <c r="O45"/>
      <c r="P45"/>
      <c r="Q45"/>
      <c r="R45" s="256"/>
      <c r="S45" s="49"/>
      <c r="T45" s="10"/>
      <c r="U45" s="10"/>
      <c r="V45" s="10"/>
      <c r="W45" s="10"/>
      <c r="X45" s="10"/>
      <c r="Y45" s="10"/>
      <c r="Z45" s="10"/>
      <c r="AA45" s="10"/>
      <c r="AB45" s="10"/>
      <c r="AC45"/>
      <c r="AD45"/>
      <c r="AE45"/>
      <c r="AF45"/>
      <c r="AG45"/>
      <c r="AH45"/>
      <c r="AI45"/>
      <c r="AJ45"/>
      <c r="AK45"/>
      <c r="AL45"/>
      <c r="AM45" s="47"/>
      <c r="AN45" s="47"/>
      <c r="AO45"/>
      <c r="AP45"/>
      <c r="AQ45"/>
      <c r="AR45"/>
      <c r="AS45"/>
      <c r="AU45" s="27">
        <v>2</v>
      </c>
      <c r="AV45" s="27">
        <v>2</v>
      </c>
      <c r="AW45" s="27">
        <v>36</v>
      </c>
      <c r="AX45" s="27" t="s">
        <v>4994</v>
      </c>
      <c r="AY45" s="29" t="s">
        <v>4627</v>
      </c>
      <c r="BF45"/>
      <c r="BG45"/>
      <c r="BH45"/>
      <c r="BI45" s="11"/>
      <c r="BJ45" s="11"/>
      <c r="BK45" s="11"/>
      <c r="BL45" s="11"/>
      <c r="BM45" s="11"/>
      <c r="BN45" s="11"/>
      <c r="BO45" s="12"/>
      <c r="BP45" s="11"/>
      <c r="BQ45" s="11"/>
      <c r="BR45" s="11"/>
      <c r="BS45" s="11"/>
      <c r="BT45" s="11"/>
      <c r="BU45" s="11"/>
      <c r="BV45" s="47" t="s">
        <v>3215</v>
      </c>
      <c r="BW45" s="47" t="s">
        <v>2267</v>
      </c>
      <c r="BX45" s="47">
        <v>5</v>
      </c>
      <c r="BY45" s="47" t="s">
        <v>5000</v>
      </c>
      <c r="BZ45" s="48">
        <v>4</v>
      </c>
      <c r="CA45" s="275" t="s">
        <v>3886</v>
      </c>
      <c r="CB45" s="2">
        <v>10</v>
      </c>
      <c r="CC45" s="15"/>
      <c r="CD45" s="15"/>
      <c r="CE45" s="135"/>
      <c r="CF45" s="15"/>
      <c r="CG45" s="27"/>
      <c r="CH45" s="15"/>
      <c r="CJ45" s="2">
        <f>IF(CK45="","","1-10")</f>
      </c>
      <c r="CK45" s="15"/>
      <c r="CL45" s="15"/>
      <c r="CM45" s="135"/>
      <c r="CN45" s="15"/>
      <c r="CO45" s="27"/>
      <c r="CP45" s="15"/>
    </row>
    <row r="46" spans="3:94" ht="18">
      <c r="C46" s="227"/>
      <c r="G46" s="228">
        <f t="shared" si="13"/>
        <v>0</v>
      </c>
      <c r="J46" s="228">
        <f t="shared" si="14"/>
        <v>0</v>
      </c>
      <c r="L46" s="228">
        <f t="shared" si="15"/>
        <v>0</v>
      </c>
      <c r="O46"/>
      <c r="P46"/>
      <c r="Q46"/>
      <c r="R46" s="256"/>
      <c r="S46" s="49"/>
      <c r="T46" s="10"/>
      <c r="U46" s="10"/>
      <c r="V46" s="10"/>
      <c r="W46" s="10"/>
      <c r="X46" s="10"/>
      <c r="Y46" s="10"/>
      <c r="Z46" s="10"/>
      <c r="AA46" s="10"/>
      <c r="AB46" s="10"/>
      <c r="AC46"/>
      <c r="AD46"/>
      <c r="AE46"/>
      <c r="AF46"/>
      <c r="AG46"/>
      <c r="AH46"/>
      <c r="AI46"/>
      <c r="AJ46"/>
      <c r="AK46"/>
      <c r="AL46"/>
      <c r="AM46" s="47"/>
      <c r="AN46" s="47"/>
      <c r="AO46"/>
      <c r="AP46"/>
      <c r="AQ46"/>
      <c r="AR46"/>
      <c r="AS46"/>
      <c r="AU46" s="2">
        <v>2</v>
      </c>
      <c r="AV46" s="27">
        <v>2</v>
      </c>
      <c r="AW46" s="27">
        <v>50</v>
      </c>
      <c r="AX46" s="29" t="s">
        <v>4994</v>
      </c>
      <c r="AY46" s="29" t="s">
        <v>2795</v>
      </c>
      <c r="BF46"/>
      <c r="BG46"/>
      <c r="BH46"/>
      <c r="BI46" s="11"/>
      <c r="BJ46" s="11"/>
      <c r="BK46" s="11"/>
      <c r="BL46" s="11"/>
      <c r="BM46" s="11"/>
      <c r="BN46" s="11"/>
      <c r="BO46" s="12"/>
      <c r="BP46" s="11"/>
      <c r="BQ46" s="11"/>
      <c r="BR46" s="11"/>
      <c r="BS46" s="11"/>
      <c r="BT46" s="11"/>
      <c r="BU46" s="11"/>
      <c r="BV46" s="254" t="s">
        <v>3216</v>
      </c>
      <c r="BW46" s="254" t="s">
        <v>2267</v>
      </c>
      <c r="BX46" s="254">
        <v>6</v>
      </c>
      <c r="BY46" s="254" t="s">
        <v>5010</v>
      </c>
      <c r="BZ46" s="303">
        <v>3</v>
      </c>
      <c r="CA46" s="275" t="s">
        <v>3886</v>
      </c>
      <c r="CB46" s="2">
        <v>10</v>
      </c>
      <c r="CC46" s="15"/>
      <c r="CD46" s="15"/>
      <c r="CE46" s="135"/>
      <c r="CF46" s="15"/>
      <c r="CG46" s="27"/>
      <c r="CH46" s="15"/>
      <c r="CJ46" s="2">
        <f>IF(CK46="","","1-11")</f>
      </c>
      <c r="CK46" s="15"/>
      <c r="CL46" s="15"/>
      <c r="CM46" s="135"/>
      <c r="CN46" s="15"/>
      <c r="CO46" s="27"/>
      <c r="CP46" s="15"/>
    </row>
    <row r="47" spans="3:94" ht="18">
      <c r="C47" s="227">
        <f aca="true" t="shared" si="16" ref="C47:C71">ROUND(CE39*$P$38,0)</f>
        <v>0</v>
      </c>
      <c r="G47" s="228">
        <f t="shared" si="13"/>
        <v>0</v>
      </c>
      <c r="J47" s="228">
        <f t="shared" si="14"/>
        <v>0</v>
      </c>
      <c r="L47" s="228">
        <f t="shared" si="15"/>
        <v>0</v>
      </c>
      <c r="O47"/>
      <c r="P47"/>
      <c r="Q47"/>
      <c r="R47" s="256"/>
      <c r="S47" s="49"/>
      <c r="T47" s="10"/>
      <c r="U47" s="10"/>
      <c r="V47" s="10"/>
      <c r="W47" s="10"/>
      <c r="X47" s="10"/>
      <c r="Y47" s="10"/>
      <c r="Z47" s="10"/>
      <c r="AA47" s="10"/>
      <c r="AB47" s="10"/>
      <c r="AC47"/>
      <c r="AD47"/>
      <c r="AE47"/>
      <c r="AF47"/>
      <c r="AG47"/>
      <c r="AH47"/>
      <c r="AI47"/>
      <c r="AJ47"/>
      <c r="AK47"/>
      <c r="AL47"/>
      <c r="AM47" s="47"/>
      <c r="AN47" s="47"/>
      <c r="AO47"/>
      <c r="AP47"/>
      <c r="AQ47"/>
      <c r="AR47"/>
      <c r="AS47"/>
      <c r="AU47" s="27">
        <v>2</v>
      </c>
      <c r="AV47" s="27">
        <v>2</v>
      </c>
      <c r="AW47" s="27">
        <v>55</v>
      </c>
      <c r="AX47" s="27" t="s">
        <v>4997</v>
      </c>
      <c r="AY47" s="29" t="s">
        <v>4628</v>
      </c>
      <c r="BF47"/>
      <c r="BG47"/>
      <c r="BH47"/>
      <c r="BI47" s="11"/>
      <c r="BJ47" s="11"/>
      <c r="BK47" s="11"/>
      <c r="BL47" s="11"/>
      <c r="BM47" s="11"/>
      <c r="BN47" s="11"/>
      <c r="BO47" s="12"/>
      <c r="BP47" s="11"/>
      <c r="BQ47" s="11"/>
      <c r="BR47" s="11"/>
      <c r="BS47" s="11"/>
      <c r="BT47" s="11"/>
      <c r="BU47" s="11"/>
      <c r="BV47" s="254" t="s">
        <v>3216</v>
      </c>
      <c r="BW47" s="254" t="s">
        <v>2267</v>
      </c>
      <c r="BX47" s="254">
        <v>6</v>
      </c>
      <c r="BY47" s="254" t="s">
        <v>5010</v>
      </c>
      <c r="BZ47" s="303">
        <v>4</v>
      </c>
      <c r="CA47" s="275" t="s">
        <v>3886</v>
      </c>
      <c r="CB47" s="2">
        <v>10</v>
      </c>
      <c r="CC47" s="15"/>
      <c r="CD47" s="15"/>
      <c r="CE47" s="135"/>
      <c r="CF47" s="15"/>
      <c r="CG47" s="27"/>
      <c r="CH47" s="15"/>
      <c r="CJ47" s="2">
        <f>IF(CK47="","","1-12")</f>
      </c>
      <c r="CK47" s="15"/>
      <c r="CL47" s="15"/>
      <c r="CM47" s="135"/>
      <c r="CN47" s="15"/>
      <c r="CO47" s="27"/>
      <c r="CP47" s="15"/>
    </row>
    <row r="48" spans="3:94" ht="18">
      <c r="C48" s="227">
        <f t="shared" si="16"/>
        <v>0</v>
      </c>
      <c r="G48" s="228">
        <f t="shared" si="13"/>
        <v>0</v>
      </c>
      <c r="J48" s="228">
        <f t="shared" si="14"/>
        <v>0</v>
      </c>
      <c r="L48" s="228">
        <f t="shared" si="15"/>
        <v>0</v>
      </c>
      <c r="O48"/>
      <c r="P48" s="335" t="s">
        <v>4180</v>
      </c>
      <c r="Q48"/>
      <c r="R48" s="256"/>
      <c r="S48" s="49"/>
      <c r="T48" s="10"/>
      <c r="U48" s="10"/>
      <c r="V48" s="10"/>
      <c r="W48" s="10"/>
      <c r="X48" s="10"/>
      <c r="Y48" s="10"/>
      <c r="Z48" s="10"/>
      <c r="AA48" s="10"/>
      <c r="AB48" s="10"/>
      <c r="AC48"/>
      <c r="AD48"/>
      <c r="AE48"/>
      <c r="AF48"/>
      <c r="AG48"/>
      <c r="AH48"/>
      <c r="AI48"/>
      <c r="AJ48"/>
      <c r="AK48"/>
      <c r="AL48"/>
      <c r="AM48" s="47"/>
      <c r="AN48" s="47"/>
      <c r="AO48"/>
      <c r="AP48"/>
      <c r="AQ48"/>
      <c r="AR48"/>
      <c r="AS48"/>
      <c r="AU48" s="27">
        <v>2</v>
      </c>
      <c r="AV48" s="27">
        <v>2</v>
      </c>
      <c r="AW48" s="27">
        <v>75</v>
      </c>
      <c r="AX48" s="27" t="s">
        <v>5000</v>
      </c>
      <c r="AY48" s="31" t="s">
        <v>4629</v>
      </c>
      <c r="BF48"/>
      <c r="BG48"/>
      <c r="BH48"/>
      <c r="BI48" s="11"/>
      <c r="BJ48" s="11"/>
      <c r="BK48" s="11"/>
      <c r="BL48" s="11"/>
      <c r="BM48" s="11"/>
      <c r="BN48" s="11"/>
      <c r="BO48" s="12"/>
      <c r="BP48" s="11"/>
      <c r="BQ48" s="11"/>
      <c r="BR48" s="11"/>
      <c r="BS48" s="11"/>
      <c r="BT48" s="11"/>
      <c r="BU48" s="11"/>
      <c r="BV48" s="254" t="s">
        <v>3216</v>
      </c>
      <c r="BW48" s="254" t="s">
        <v>2267</v>
      </c>
      <c r="BX48" s="254">
        <v>6</v>
      </c>
      <c r="BY48" s="254" t="s">
        <v>5012</v>
      </c>
      <c r="BZ48" s="303">
        <v>3</v>
      </c>
      <c r="CA48" s="275" t="s">
        <v>3886</v>
      </c>
      <c r="CB48" s="2">
        <v>10</v>
      </c>
      <c r="CC48" s="15"/>
      <c r="CD48" s="15"/>
      <c r="CE48" s="135"/>
      <c r="CF48" s="15"/>
      <c r="CG48" s="27"/>
      <c r="CH48" s="15"/>
      <c r="CJ48" s="2">
        <f>IF(CK48="","","1-13")</f>
      </c>
      <c r="CK48" s="15"/>
      <c r="CL48" s="15"/>
      <c r="CM48" s="15"/>
      <c r="CN48" s="15"/>
      <c r="CO48" s="27"/>
      <c r="CP48" s="15"/>
    </row>
    <row r="49" spans="3:94" ht="18">
      <c r="C49" s="227">
        <f t="shared" si="16"/>
        <v>0</v>
      </c>
      <c r="G49" s="228">
        <f t="shared" si="13"/>
        <v>0</v>
      </c>
      <c r="J49" s="228">
        <f t="shared" si="14"/>
        <v>0</v>
      </c>
      <c r="L49" s="228">
        <f t="shared" si="15"/>
        <v>0</v>
      </c>
      <c r="O49" s="202" t="s">
        <v>5017</v>
      </c>
      <c r="P49" s="203" t="s">
        <v>5018</v>
      </c>
      <c r="Q49" s="203" t="s">
        <v>5019</v>
      </c>
      <c r="R49" s="257" t="s">
        <v>5014</v>
      </c>
      <c r="S49" s="253" t="s">
        <v>5015</v>
      </c>
      <c r="T49" s="204" t="s">
        <v>3449</v>
      </c>
      <c r="U49" s="204" t="s">
        <v>5016</v>
      </c>
      <c r="V49" s="204" t="s">
        <v>3446</v>
      </c>
      <c r="W49" s="204" t="s">
        <v>3437</v>
      </c>
      <c r="X49" s="204" t="s">
        <v>3448</v>
      </c>
      <c r="Y49" s="204" t="s">
        <v>3452</v>
      </c>
      <c r="Z49" s="204" t="s">
        <v>5020</v>
      </c>
      <c r="AA49" s="204" t="s">
        <v>5021</v>
      </c>
      <c r="AB49" s="204" t="s">
        <v>5022</v>
      </c>
      <c r="AC49" s="205" t="s">
        <v>5023</v>
      </c>
      <c r="AD49"/>
      <c r="AE49" s="202" t="s">
        <v>5017</v>
      </c>
      <c r="AF49" s="203" t="s">
        <v>5018</v>
      </c>
      <c r="AG49" s="203" t="s">
        <v>5019</v>
      </c>
      <c r="AH49" s="204" t="s">
        <v>5014</v>
      </c>
      <c r="AI49" s="204" t="s">
        <v>5015</v>
      </c>
      <c r="AJ49" s="204" t="s">
        <v>3449</v>
      </c>
      <c r="AK49" s="204" t="s">
        <v>5016</v>
      </c>
      <c r="AL49" s="204" t="s">
        <v>3446</v>
      </c>
      <c r="AM49" s="253" t="s">
        <v>3437</v>
      </c>
      <c r="AN49" s="253" t="s">
        <v>5024</v>
      </c>
      <c r="AO49" s="204" t="s">
        <v>3452</v>
      </c>
      <c r="AP49" s="204" t="s">
        <v>5020</v>
      </c>
      <c r="AQ49" s="204" t="s">
        <v>5021</v>
      </c>
      <c r="AR49" s="204" t="s">
        <v>5022</v>
      </c>
      <c r="AS49" s="205" t="s">
        <v>5023</v>
      </c>
      <c r="AU49" s="27">
        <v>2</v>
      </c>
      <c r="AV49" s="27">
        <v>3</v>
      </c>
      <c r="AW49" s="27">
        <v>42</v>
      </c>
      <c r="AX49" s="27" t="s">
        <v>4997</v>
      </c>
      <c r="AY49" s="31" t="s">
        <v>2796</v>
      </c>
      <c r="BF49"/>
      <c r="BG49"/>
      <c r="BH49"/>
      <c r="BI49" s="11"/>
      <c r="BJ49" s="11"/>
      <c r="BK49" s="11"/>
      <c r="BL49" s="11"/>
      <c r="BM49" s="11"/>
      <c r="BN49" s="11"/>
      <c r="BO49" s="12"/>
      <c r="BP49" s="11"/>
      <c r="BQ49" s="11"/>
      <c r="BR49" s="11"/>
      <c r="BS49" s="11"/>
      <c r="BT49" s="11"/>
      <c r="BU49" s="11"/>
      <c r="BV49" s="254" t="s">
        <v>3216</v>
      </c>
      <c r="BW49" s="254" t="s">
        <v>2267</v>
      </c>
      <c r="BX49" s="254">
        <v>6</v>
      </c>
      <c r="BY49" s="254" t="s">
        <v>5012</v>
      </c>
      <c r="BZ49" s="303">
        <v>4</v>
      </c>
      <c r="CA49" s="275" t="s">
        <v>3886</v>
      </c>
      <c r="CB49" s="2">
        <v>10</v>
      </c>
      <c r="CC49" s="15"/>
      <c r="CD49" s="15"/>
      <c r="CE49" s="15"/>
      <c r="CF49" s="15"/>
      <c r="CG49" s="27"/>
      <c r="CH49" s="15"/>
      <c r="CJ49" s="2">
        <f>IF(CK49="","","1-14")</f>
      </c>
      <c r="CK49" s="15"/>
      <c r="CL49" s="15"/>
      <c r="CM49" s="135"/>
      <c r="CN49" s="15"/>
      <c r="CO49" s="27"/>
      <c r="CP49" s="15"/>
    </row>
    <row r="50" spans="3:94" ht="18">
      <c r="C50" s="227">
        <f t="shared" si="16"/>
        <v>0</v>
      </c>
      <c r="G50" s="228">
        <f t="shared" si="13"/>
        <v>0</v>
      </c>
      <c r="J50" s="228">
        <f t="shared" si="14"/>
        <v>0</v>
      </c>
      <c r="L50" s="228">
        <f t="shared" si="15"/>
        <v>0</v>
      </c>
      <c r="M50" s="104"/>
      <c r="O50" s="206" t="s">
        <v>4316</v>
      </c>
      <c r="P50" s="94" t="s">
        <v>5027</v>
      </c>
      <c r="Q50" s="180">
        <v>66594</v>
      </c>
      <c r="R50" s="258">
        <v>800</v>
      </c>
      <c r="S50" s="259">
        <v>42</v>
      </c>
      <c r="T50" s="213" t="s">
        <v>4994</v>
      </c>
      <c r="U50" s="213">
        <v>3</v>
      </c>
      <c r="V50" s="213" t="s">
        <v>3439</v>
      </c>
      <c r="W50" s="213" t="s">
        <v>3361</v>
      </c>
      <c r="X50" s="213" t="s">
        <v>3441</v>
      </c>
      <c r="Y50" s="213" t="s">
        <v>4995</v>
      </c>
      <c r="Z50" s="213" t="s">
        <v>5026</v>
      </c>
      <c r="AA50" s="213">
        <v>36</v>
      </c>
      <c r="AB50" s="213">
        <v>42</v>
      </c>
      <c r="AC50" s="207" t="s">
        <v>4530</v>
      </c>
      <c r="AD50"/>
      <c r="AE50" s="206"/>
      <c r="AF50" s="94"/>
      <c r="AG50" s="94"/>
      <c r="AH50" s="94"/>
      <c r="AI50" s="94"/>
      <c r="AJ50" s="94"/>
      <c r="AK50" s="94"/>
      <c r="AL50" s="94"/>
      <c r="AM50" s="254"/>
      <c r="AN50" s="254"/>
      <c r="AO50" s="94"/>
      <c r="AP50" s="94"/>
      <c r="AQ50" s="94"/>
      <c r="AR50" s="94"/>
      <c r="AS50" s="207"/>
      <c r="AU50" s="27">
        <v>2</v>
      </c>
      <c r="AV50" s="27">
        <v>3</v>
      </c>
      <c r="AW50" s="27">
        <v>55</v>
      </c>
      <c r="AX50" s="27" t="s">
        <v>4997</v>
      </c>
      <c r="AY50" s="31" t="s">
        <v>4628</v>
      </c>
      <c r="BF50"/>
      <c r="BG50"/>
      <c r="BH50"/>
      <c r="BI50" s="11"/>
      <c r="BJ50" s="11"/>
      <c r="BK50" s="11"/>
      <c r="BL50" s="11"/>
      <c r="BM50" s="11"/>
      <c r="BN50" s="11"/>
      <c r="BO50" s="12"/>
      <c r="BP50" s="11"/>
      <c r="BQ50" s="11"/>
      <c r="BR50" s="11"/>
      <c r="BS50" s="11"/>
      <c r="BT50" s="11"/>
      <c r="BU50" s="11"/>
      <c r="BV50" s="47" t="s">
        <v>3922</v>
      </c>
      <c r="BW50" s="47" t="s">
        <v>551</v>
      </c>
      <c r="BX50" s="47">
        <v>7</v>
      </c>
      <c r="BY50" s="47" t="s">
        <v>4994</v>
      </c>
      <c r="BZ50" s="48">
        <v>3</v>
      </c>
      <c r="CA50" s="327" t="s">
        <v>3887</v>
      </c>
      <c r="CB50" s="2">
        <v>5</v>
      </c>
      <c r="CC50" s="15"/>
      <c r="CD50" s="15"/>
      <c r="CE50" s="15"/>
      <c r="CF50" s="15"/>
      <c r="CG50" s="27"/>
      <c r="CH50" s="15"/>
      <c r="CJ50" s="2">
        <f>IF(CK50="","","1-15")</f>
      </c>
      <c r="CK50" s="15"/>
      <c r="CL50" s="15"/>
      <c r="CM50" s="135"/>
      <c r="CN50" s="15"/>
      <c r="CO50" s="27"/>
      <c r="CP50" s="15"/>
    </row>
    <row r="51" spans="3:94" ht="18">
      <c r="C51" s="227">
        <f t="shared" si="16"/>
        <v>0</v>
      </c>
      <c r="G51" s="228">
        <f t="shared" si="13"/>
        <v>0</v>
      </c>
      <c r="J51" s="228">
        <f t="shared" si="14"/>
        <v>0</v>
      </c>
      <c r="L51" s="228">
        <f t="shared" si="15"/>
        <v>0</v>
      </c>
      <c r="M51" s="104"/>
      <c r="O51" s="206" t="s">
        <v>4319</v>
      </c>
      <c r="P51" s="94" t="s">
        <v>2770</v>
      </c>
      <c r="Q51" s="180">
        <v>79441</v>
      </c>
      <c r="R51" s="258">
        <v>800</v>
      </c>
      <c r="S51" s="259">
        <v>42</v>
      </c>
      <c r="T51" s="213" t="s">
        <v>4994</v>
      </c>
      <c r="U51" s="213">
        <v>3</v>
      </c>
      <c r="V51" s="213" t="s">
        <v>3439</v>
      </c>
      <c r="W51" s="213" t="s">
        <v>3361</v>
      </c>
      <c r="X51" s="213" t="s">
        <v>3441</v>
      </c>
      <c r="Y51" s="213" t="s">
        <v>4999</v>
      </c>
      <c r="Z51" s="213" t="s">
        <v>5026</v>
      </c>
      <c r="AA51" s="213">
        <v>36</v>
      </c>
      <c r="AB51" s="213">
        <v>42</v>
      </c>
      <c r="AC51" s="207" t="s">
        <v>4530</v>
      </c>
      <c r="AD51"/>
      <c r="AE51" s="206"/>
      <c r="AF51" s="94"/>
      <c r="AG51" s="94"/>
      <c r="AH51" s="94"/>
      <c r="AI51" s="94"/>
      <c r="AJ51" s="94"/>
      <c r="AK51" s="94"/>
      <c r="AL51" s="94"/>
      <c r="AM51" s="254"/>
      <c r="AN51" s="254"/>
      <c r="AO51" s="94"/>
      <c r="AP51" s="94"/>
      <c r="AQ51" s="94"/>
      <c r="AR51" s="94"/>
      <c r="AS51" s="207"/>
      <c r="AU51" s="27">
        <v>2</v>
      </c>
      <c r="AV51" s="27">
        <v>3</v>
      </c>
      <c r="AW51" s="27">
        <v>75</v>
      </c>
      <c r="AX51" s="27" t="s">
        <v>5000</v>
      </c>
      <c r="AY51" s="31" t="s">
        <v>4629</v>
      </c>
      <c r="BF51"/>
      <c r="BG51"/>
      <c r="BH51"/>
      <c r="BI51" s="11"/>
      <c r="BJ51" s="11"/>
      <c r="BK51" s="11"/>
      <c r="BL51" s="11"/>
      <c r="BM51" s="11"/>
      <c r="BN51" s="11"/>
      <c r="BO51" s="12"/>
      <c r="BP51" s="11"/>
      <c r="BQ51" s="11"/>
      <c r="BR51" s="11"/>
      <c r="BS51" s="11"/>
      <c r="BT51" s="11"/>
      <c r="BU51" s="11"/>
      <c r="BV51" s="47" t="s">
        <v>3922</v>
      </c>
      <c r="BW51" s="47" t="s">
        <v>551</v>
      </c>
      <c r="BX51" s="47">
        <v>7</v>
      </c>
      <c r="BY51" s="47" t="s">
        <v>4997</v>
      </c>
      <c r="BZ51" s="48">
        <v>3</v>
      </c>
      <c r="CA51" s="48" t="s">
        <v>3887</v>
      </c>
      <c r="CB51" s="2">
        <v>5</v>
      </c>
      <c r="CC51" s="15"/>
      <c r="CD51" s="15"/>
      <c r="CE51" s="135"/>
      <c r="CF51" s="15"/>
      <c r="CG51" s="27"/>
      <c r="CH51" s="15"/>
      <c r="CJ51" s="2">
        <f>IF(CK51="","","1-16")</f>
      </c>
      <c r="CK51" s="15"/>
      <c r="CL51" s="15"/>
      <c r="CM51" s="135"/>
      <c r="CN51" s="15"/>
      <c r="CO51" s="27"/>
      <c r="CP51" s="15"/>
    </row>
    <row r="52" spans="3:94" ht="18">
      <c r="C52" s="227">
        <f t="shared" si="16"/>
        <v>0</v>
      </c>
      <c r="G52" s="228">
        <f t="shared" si="13"/>
        <v>0</v>
      </c>
      <c r="J52" s="228">
        <f t="shared" si="14"/>
        <v>0</v>
      </c>
      <c r="L52" s="228">
        <f t="shared" si="15"/>
        <v>0</v>
      </c>
      <c r="M52" s="104"/>
      <c r="O52" s="206" t="s">
        <v>4322</v>
      </c>
      <c r="P52" s="94" t="s">
        <v>3548</v>
      </c>
      <c r="Q52" s="180">
        <v>72225</v>
      </c>
      <c r="R52" s="258">
        <v>800</v>
      </c>
      <c r="S52" s="259">
        <v>42</v>
      </c>
      <c r="T52" s="213" t="s">
        <v>4994</v>
      </c>
      <c r="U52" s="213">
        <v>3</v>
      </c>
      <c r="V52" s="213" t="s">
        <v>3439</v>
      </c>
      <c r="W52" s="213" t="s">
        <v>3361</v>
      </c>
      <c r="X52" s="213" t="s">
        <v>3441</v>
      </c>
      <c r="Y52" s="213" t="s">
        <v>4996</v>
      </c>
      <c r="Z52" s="213" t="s">
        <v>5026</v>
      </c>
      <c r="AA52" s="213">
        <v>36</v>
      </c>
      <c r="AB52" s="213">
        <v>42</v>
      </c>
      <c r="AC52" s="207" t="s">
        <v>4530</v>
      </c>
      <c r="AD52"/>
      <c r="AE52" s="206"/>
      <c r="AF52" s="94"/>
      <c r="AG52" s="94"/>
      <c r="AH52" s="94"/>
      <c r="AI52" s="94"/>
      <c r="AJ52" s="94"/>
      <c r="AK52" s="94"/>
      <c r="AL52" s="94"/>
      <c r="AM52" s="254"/>
      <c r="AN52" s="254"/>
      <c r="AO52" s="94"/>
      <c r="AP52" s="94"/>
      <c r="AQ52" s="94"/>
      <c r="AR52" s="94"/>
      <c r="AS52" s="207"/>
      <c r="AU52" s="27">
        <v>2</v>
      </c>
      <c r="AV52" s="27">
        <v>4</v>
      </c>
      <c r="AW52" s="27">
        <v>42</v>
      </c>
      <c r="AX52" s="27" t="s">
        <v>4997</v>
      </c>
      <c r="AY52" s="31" t="s">
        <v>2796</v>
      </c>
      <c r="BF52"/>
      <c r="BG52"/>
      <c r="BH52"/>
      <c r="BI52" s="11"/>
      <c r="BJ52" s="11"/>
      <c r="BK52" s="11"/>
      <c r="BL52" s="11"/>
      <c r="BM52" s="11"/>
      <c r="BN52" s="11"/>
      <c r="BO52" s="12"/>
      <c r="BP52" s="11"/>
      <c r="BQ52" s="11"/>
      <c r="BR52" s="11"/>
      <c r="BS52" s="11"/>
      <c r="BT52" s="11"/>
      <c r="BU52" s="11"/>
      <c r="BV52" s="47" t="s">
        <v>3922</v>
      </c>
      <c r="BW52" s="47" t="s">
        <v>551</v>
      </c>
      <c r="BX52" s="47">
        <v>7</v>
      </c>
      <c r="BY52" s="47" t="s">
        <v>5000</v>
      </c>
      <c r="BZ52" s="48">
        <v>3</v>
      </c>
      <c r="CA52" s="48" t="s">
        <v>3887</v>
      </c>
      <c r="CB52" s="2">
        <v>5</v>
      </c>
      <c r="CC52" s="15"/>
      <c r="CD52" s="15"/>
      <c r="CE52" s="135"/>
      <c r="CF52" s="15"/>
      <c r="CG52" s="27"/>
      <c r="CH52" s="15"/>
      <c r="CJ52" s="2">
        <f>IF(CK52="","","1-17")</f>
      </c>
      <c r="CK52" s="15"/>
      <c r="CL52" s="15"/>
      <c r="CM52" s="135"/>
      <c r="CN52" s="15"/>
      <c r="CO52" s="27"/>
      <c r="CP52" s="15"/>
    </row>
    <row r="53" spans="3:94" ht="18">
      <c r="C53" s="227">
        <f t="shared" si="16"/>
        <v>0</v>
      </c>
      <c r="G53" s="228">
        <f t="shared" si="13"/>
        <v>0</v>
      </c>
      <c r="M53" s="104"/>
      <c r="O53" s="206" t="s">
        <v>3612</v>
      </c>
      <c r="P53" s="94" t="s">
        <v>3551</v>
      </c>
      <c r="Q53" s="180">
        <v>103650</v>
      </c>
      <c r="R53" s="258">
        <v>800</v>
      </c>
      <c r="S53" s="259">
        <v>42</v>
      </c>
      <c r="T53" s="213" t="s">
        <v>4994</v>
      </c>
      <c r="U53" s="213">
        <v>3</v>
      </c>
      <c r="V53" s="213" t="s">
        <v>3439</v>
      </c>
      <c r="W53" s="213" t="s">
        <v>3361</v>
      </c>
      <c r="X53" s="213" t="s">
        <v>3445</v>
      </c>
      <c r="Y53" s="213" t="s">
        <v>4999</v>
      </c>
      <c r="Z53" s="213" t="s">
        <v>5026</v>
      </c>
      <c r="AA53" s="213">
        <v>36</v>
      </c>
      <c r="AB53" s="213">
        <v>42</v>
      </c>
      <c r="AC53" s="207" t="s">
        <v>4530</v>
      </c>
      <c r="AD53"/>
      <c r="AE53" s="206"/>
      <c r="AF53" s="94"/>
      <c r="AG53" s="94"/>
      <c r="AH53" s="94"/>
      <c r="AI53" s="94"/>
      <c r="AJ53" s="94"/>
      <c r="AK53" s="94"/>
      <c r="AL53" s="94"/>
      <c r="AM53" s="254"/>
      <c r="AN53" s="254"/>
      <c r="AO53" s="94"/>
      <c r="AP53" s="94"/>
      <c r="AQ53" s="94"/>
      <c r="AR53" s="94"/>
      <c r="AS53" s="207"/>
      <c r="AU53" s="27">
        <v>2</v>
      </c>
      <c r="AV53" s="27">
        <v>4</v>
      </c>
      <c r="AW53" s="27">
        <v>55</v>
      </c>
      <c r="AX53" s="27" t="s">
        <v>4997</v>
      </c>
      <c r="AY53" s="29" t="s">
        <v>4628</v>
      </c>
      <c r="BF53"/>
      <c r="BG53" s="335" t="s">
        <v>4180</v>
      </c>
      <c r="BH53"/>
      <c r="BI53" s="11"/>
      <c r="BJ53" s="11"/>
      <c r="BK53" s="11"/>
      <c r="BL53" s="11"/>
      <c r="BM53" s="11"/>
      <c r="BN53" s="11"/>
      <c r="BO53" s="12"/>
      <c r="BP53" s="11"/>
      <c r="BQ53" s="11"/>
      <c r="BR53" s="11"/>
      <c r="BS53" s="11"/>
      <c r="BT53" s="11"/>
      <c r="BU53" s="11"/>
      <c r="BV53" s="47" t="s">
        <v>3922</v>
      </c>
      <c r="BW53" s="47" t="s">
        <v>551</v>
      </c>
      <c r="BX53" s="47">
        <v>7</v>
      </c>
      <c r="BY53" s="47" t="s">
        <v>5010</v>
      </c>
      <c r="BZ53" s="48">
        <v>3</v>
      </c>
      <c r="CA53" s="48" t="s">
        <v>3887</v>
      </c>
      <c r="CB53" s="2">
        <v>5</v>
      </c>
      <c r="CC53" s="15"/>
      <c r="CD53" s="15"/>
      <c r="CE53" s="135"/>
      <c r="CF53" s="15"/>
      <c r="CG53" s="27"/>
      <c r="CH53" s="15"/>
      <c r="CJ53" s="2">
        <f>IF(CK53="","","1-18")</f>
      </c>
      <c r="CK53" s="15"/>
      <c r="CL53" s="15"/>
      <c r="CM53" s="135"/>
      <c r="CN53" s="15"/>
      <c r="CO53" s="27"/>
      <c r="CP53" s="15"/>
    </row>
    <row r="54" spans="3:94" ht="18">
      <c r="C54" s="227">
        <f t="shared" si="16"/>
        <v>0</v>
      </c>
      <c r="G54" s="228">
        <f t="shared" si="13"/>
        <v>0</v>
      </c>
      <c r="M54" s="104"/>
      <c r="O54" s="206" t="s">
        <v>3615</v>
      </c>
      <c r="P54" s="94" t="s">
        <v>3554</v>
      </c>
      <c r="Q54" s="180">
        <v>96435</v>
      </c>
      <c r="R54" s="258">
        <v>800</v>
      </c>
      <c r="S54" s="259">
        <v>42</v>
      </c>
      <c r="T54" s="213" t="s">
        <v>4994</v>
      </c>
      <c r="U54" s="213">
        <v>3</v>
      </c>
      <c r="V54" s="213" t="s">
        <v>3439</v>
      </c>
      <c r="W54" s="213" t="s">
        <v>3361</v>
      </c>
      <c r="X54" s="213" t="s">
        <v>3445</v>
      </c>
      <c r="Y54" s="213" t="s">
        <v>4996</v>
      </c>
      <c r="Z54" s="213" t="s">
        <v>5026</v>
      </c>
      <c r="AA54" s="213">
        <v>36</v>
      </c>
      <c r="AB54" s="213">
        <v>42</v>
      </c>
      <c r="AC54" s="207" t="s">
        <v>4530</v>
      </c>
      <c r="AD54"/>
      <c r="AE54" s="206"/>
      <c r="AF54" s="94"/>
      <c r="AG54" s="94"/>
      <c r="AH54" s="94"/>
      <c r="AI54" s="94"/>
      <c r="AJ54" s="94"/>
      <c r="AK54" s="94"/>
      <c r="AL54" s="94"/>
      <c r="AM54" s="254"/>
      <c r="AN54" s="254"/>
      <c r="AO54" s="94"/>
      <c r="AP54" s="94"/>
      <c r="AQ54" s="94"/>
      <c r="AR54" s="94"/>
      <c r="AS54" s="207"/>
      <c r="AU54" s="27">
        <v>2</v>
      </c>
      <c r="AV54" s="27">
        <v>4</v>
      </c>
      <c r="AW54" s="27">
        <v>75</v>
      </c>
      <c r="AX54" s="27" t="s">
        <v>5000</v>
      </c>
      <c r="AY54" s="29" t="s">
        <v>4629</v>
      </c>
      <c r="BF54" s="215" t="s">
        <v>5017</v>
      </c>
      <c r="BG54" s="216" t="s">
        <v>5020</v>
      </c>
      <c r="BH54" s="216" t="s">
        <v>5019</v>
      </c>
      <c r="BI54" s="217" t="s">
        <v>491</v>
      </c>
      <c r="BJ54" s="217" t="s">
        <v>491</v>
      </c>
      <c r="BK54" s="217" t="s">
        <v>3539</v>
      </c>
      <c r="BL54" s="218"/>
      <c r="BM54" s="19"/>
      <c r="BN54" s="19"/>
      <c r="BO54" s="12"/>
      <c r="BP54" s="11"/>
      <c r="BQ54" s="11"/>
      <c r="BR54" s="11"/>
      <c r="BS54" s="11"/>
      <c r="BT54" s="11"/>
      <c r="BU54" s="11"/>
      <c r="BV54" s="47" t="s">
        <v>3922</v>
      </c>
      <c r="BW54" s="47" t="s">
        <v>551</v>
      </c>
      <c r="BX54" s="47">
        <v>7</v>
      </c>
      <c r="BY54" s="47" t="s">
        <v>5012</v>
      </c>
      <c r="BZ54" s="48">
        <v>3</v>
      </c>
      <c r="CA54" s="48" t="s">
        <v>3887</v>
      </c>
      <c r="CB54" s="2">
        <v>5</v>
      </c>
      <c r="CC54" s="15"/>
      <c r="CD54" s="15"/>
      <c r="CE54" s="135"/>
      <c r="CF54" s="15"/>
      <c r="CG54" s="27"/>
      <c r="CH54" s="15"/>
      <c r="CJ54" s="2">
        <f>IF(CK54="","","1-19")</f>
      </c>
      <c r="CK54" s="15"/>
      <c r="CL54" s="15"/>
      <c r="CM54" s="135"/>
      <c r="CN54" s="15"/>
      <c r="CO54" s="27"/>
      <c r="CP54" s="15"/>
    </row>
    <row r="55" spans="3:94" ht="18">
      <c r="C55" s="227">
        <f t="shared" si="16"/>
        <v>0</v>
      </c>
      <c r="G55" s="228">
        <f t="shared" si="13"/>
        <v>0</v>
      </c>
      <c r="M55" s="104"/>
      <c r="O55" s="206" t="s">
        <v>3618</v>
      </c>
      <c r="P55" s="94" t="s">
        <v>3557</v>
      </c>
      <c r="Q55" s="180">
        <v>80071</v>
      </c>
      <c r="R55" s="258">
        <v>1250</v>
      </c>
      <c r="S55" s="259">
        <v>42</v>
      </c>
      <c r="T55" s="213" t="s">
        <v>4994</v>
      </c>
      <c r="U55" s="213">
        <v>3</v>
      </c>
      <c r="V55" s="213" t="s">
        <v>3439</v>
      </c>
      <c r="W55" s="213" t="s">
        <v>3361</v>
      </c>
      <c r="X55" s="213" t="s">
        <v>3441</v>
      </c>
      <c r="Y55" s="213" t="s">
        <v>4995</v>
      </c>
      <c r="Z55" s="213" t="s">
        <v>5026</v>
      </c>
      <c r="AA55" s="213">
        <v>36</v>
      </c>
      <c r="AB55" s="213">
        <v>42</v>
      </c>
      <c r="AC55" s="207" t="s">
        <v>4530</v>
      </c>
      <c r="AD55"/>
      <c r="AE55" s="206"/>
      <c r="AF55" s="94"/>
      <c r="AG55" s="94"/>
      <c r="AH55" s="94"/>
      <c r="AI55" s="94"/>
      <c r="AJ55" s="94"/>
      <c r="AK55" s="94"/>
      <c r="AL55" s="94"/>
      <c r="AM55" s="254"/>
      <c r="AN55" s="254"/>
      <c r="AO55" s="94"/>
      <c r="AP55" s="94"/>
      <c r="AQ55" s="94"/>
      <c r="AR55" s="94"/>
      <c r="AS55" s="207"/>
      <c r="AU55" s="27">
        <v>2</v>
      </c>
      <c r="AV55" s="27">
        <v>5</v>
      </c>
      <c r="AW55" s="27">
        <v>65</v>
      </c>
      <c r="AX55" s="27" t="s">
        <v>5000</v>
      </c>
      <c r="AY55" s="29" t="s">
        <v>4630</v>
      </c>
      <c r="BF55" s="219" t="s">
        <v>3236</v>
      </c>
      <c r="BG55" s="18" t="s">
        <v>3737</v>
      </c>
      <c r="BH55" s="105">
        <v>2733</v>
      </c>
      <c r="BI55" s="19" t="s">
        <v>3734</v>
      </c>
      <c r="BJ55" s="19">
        <v>24</v>
      </c>
      <c r="BK55" s="19" t="s">
        <v>1497</v>
      </c>
      <c r="BL55" s="220"/>
      <c r="BM55" s="19"/>
      <c r="BN55" s="19"/>
      <c r="BO55" s="12"/>
      <c r="BP55" s="11"/>
      <c r="BQ55" s="11"/>
      <c r="BR55" s="11"/>
      <c r="BS55" s="11"/>
      <c r="BT55" s="11"/>
      <c r="BU55" s="11"/>
      <c r="BV55" s="47" t="s">
        <v>3922</v>
      </c>
      <c r="BW55" s="47" t="s">
        <v>551</v>
      </c>
      <c r="BX55" s="47">
        <v>7</v>
      </c>
      <c r="BY55" s="47" t="s">
        <v>4994</v>
      </c>
      <c r="BZ55" s="48">
        <v>4</v>
      </c>
      <c r="CA55" s="48" t="s">
        <v>3887</v>
      </c>
      <c r="CB55" s="2">
        <v>5</v>
      </c>
      <c r="CC55" s="15"/>
      <c r="CD55" s="15"/>
      <c r="CE55" s="135"/>
      <c r="CF55" s="15"/>
      <c r="CG55" s="27"/>
      <c r="CH55" s="15"/>
      <c r="CJ55" s="2">
        <f>IF(CK55="","","1-20")</f>
      </c>
      <c r="CO55" s="27"/>
      <c r="CP55" s="15"/>
    </row>
    <row r="56" spans="3:94" ht="18">
      <c r="C56" s="227">
        <f t="shared" si="16"/>
        <v>0</v>
      </c>
      <c r="G56" s="228">
        <f t="shared" si="13"/>
        <v>0</v>
      </c>
      <c r="M56" s="104"/>
      <c r="O56" s="206" t="s">
        <v>3621</v>
      </c>
      <c r="P56" s="94" t="s">
        <v>3560</v>
      </c>
      <c r="Q56" s="180">
        <v>92919</v>
      </c>
      <c r="R56" s="258">
        <v>1250</v>
      </c>
      <c r="S56" s="259">
        <v>42</v>
      </c>
      <c r="T56" s="213" t="s">
        <v>4994</v>
      </c>
      <c r="U56" s="213">
        <v>3</v>
      </c>
      <c r="V56" s="213" t="s">
        <v>3439</v>
      </c>
      <c r="W56" s="213" t="s">
        <v>3361</v>
      </c>
      <c r="X56" s="213" t="s">
        <v>3441</v>
      </c>
      <c r="Y56" s="213" t="s">
        <v>4999</v>
      </c>
      <c r="Z56" s="213" t="s">
        <v>5026</v>
      </c>
      <c r="AA56" s="213">
        <v>36</v>
      </c>
      <c r="AB56" s="213">
        <v>42</v>
      </c>
      <c r="AC56" s="207" t="s">
        <v>4530</v>
      </c>
      <c r="AD56"/>
      <c r="AE56" s="206"/>
      <c r="AF56" s="94"/>
      <c r="AG56" s="94"/>
      <c r="AH56" s="94"/>
      <c r="AI56" s="94"/>
      <c r="AJ56" s="94"/>
      <c r="AK56" s="94"/>
      <c r="AL56" s="94"/>
      <c r="AM56" s="254"/>
      <c r="AN56" s="254"/>
      <c r="AO56" s="94"/>
      <c r="AP56" s="94"/>
      <c r="AQ56" s="94"/>
      <c r="AR56" s="94"/>
      <c r="AS56" s="207"/>
      <c r="AU56" s="27">
        <v>2</v>
      </c>
      <c r="AV56" s="27">
        <v>5</v>
      </c>
      <c r="AW56" s="27">
        <v>75</v>
      </c>
      <c r="AX56" s="27" t="s">
        <v>5000</v>
      </c>
      <c r="AY56" s="29" t="s">
        <v>4629</v>
      </c>
      <c r="BF56" s="219" t="s">
        <v>2377</v>
      </c>
      <c r="BG56" s="18" t="s">
        <v>493</v>
      </c>
      <c r="BH56" s="105">
        <v>2733</v>
      </c>
      <c r="BI56" s="19" t="s">
        <v>494</v>
      </c>
      <c r="BJ56" s="19">
        <v>30</v>
      </c>
      <c r="BK56" s="19" t="s">
        <v>1498</v>
      </c>
      <c r="BL56" s="220"/>
      <c r="BM56" s="19"/>
      <c r="BN56" s="19"/>
      <c r="BO56" s="12"/>
      <c r="BP56" s="11"/>
      <c r="BQ56" s="11"/>
      <c r="BR56" s="11"/>
      <c r="BS56" s="11"/>
      <c r="BT56" s="11"/>
      <c r="BU56" s="11"/>
      <c r="BV56" s="47" t="s">
        <v>3922</v>
      </c>
      <c r="BW56" s="47" t="s">
        <v>551</v>
      </c>
      <c r="BX56" s="47">
        <v>7</v>
      </c>
      <c r="BY56" s="47" t="s">
        <v>4997</v>
      </c>
      <c r="BZ56" s="48">
        <v>4</v>
      </c>
      <c r="CA56" s="48" t="s">
        <v>3887</v>
      </c>
      <c r="CB56" s="2">
        <v>5</v>
      </c>
      <c r="CC56" s="15"/>
      <c r="CD56" s="15"/>
      <c r="CE56" s="135"/>
      <c r="CF56" s="15"/>
      <c r="CG56" s="27"/>
      <c r="CH56" s="15"/>
      <c r="CJ56" s="2">
        <f>IF(CK56="","","1-21")</f>
      </c>
      <c r="CK56" s="15"/>
      <c r="CL56" s="15"/>
      <c r="CM56" s="135"/>
      <c r="CN56" s="15"/>
      <c r="CO56" s="27"/>
      <c r="CP56" s="15"/>
    </row>
    <row r="57" spans="3:88" ht="18">
      <c r="C57" s="227">
        <f t="shared" si="16"/>
        <v>0</v>
      </c>
      <c r="G57" s="228">
        <f t="shared" si="13"/>
        <v>0</v>
      </c>
      <c r="M57" s="104"/>
      <c r="O57" s="206" t="s">
        <v>4766</v>
      </c>
      <c r="P57" s="94" t="s">
        <v>3563</v>
      </c>
      <c r="Q57" s="180">
        <v>85701</v>
      </c>
      <c r="R57" s="258">
        <v>1250</v>
      </c>
      <c r="S57" s="259">
        <v>42</v>
      </c>
      <c r="T57" s="213" t="s">
        <v>4994</v>
      </c>
      <c r="U57" s="213">
        <v>3</v>
      </c>
      <c r="V57" s="213" t="s">
        <v>3439</v>
      </c>
      <c r="W57" s="213" t="s">
        <v>3361</v>
      </c>
      <c r="X57" s="213" t="s">
        <v>3441</v>
      </c>
      <c r="Y57" s="213" t="s">
        <v>4996</v>
      </c>
      <c r="Z57" s="213" t="s">
        <v>5026</v>
      </c>
      <c r="AA57" s="213">
        <v>36</v>
      </c>
      <c r="AB57" s="213">
        <v>42</v>
      </c>
      <c r="AC57" s="207" t="s">
        <v>4530</v>
      </c>
      <c r="AD57"/>
      <c r="AE57" s="206"/>
      <c r="AF57" s="94"/>
      <c r="AG57" s="94"/>
      <c r="AH57" s="94"/>
      <c r="AI57" s="94"/>
      <c r="AJ57" s="94"/>
      <c r="AK57" s="94"/>
      <c r="AL57" s="94"/>
      <c r="AM57" s="254"/>
      <c r="AN57" s="254"/>
      <c r="AO57" s="94"/>
      <c r="AP57" s="94"/>
      <c r="AQ57" s="94"/>
      <c r="AR57" s="94"/>
      <c r="AS57" s="207"/>
      <c r="AU57" s="27">
        <v>2</v>
      </c>
      <c r="AV57" s="27">
        <v>6</v>
      </c>
      <c r="AW57" s="27">
        <v>65</v>
      </c>
      <c r="AX57" s="27" t="s">
        <v>5000</v>
      </c>
      <c r="AY57" s="29" t="s">
        <v>4630</v>
      </c>
      <c r="BF57" s="219" t="s">
        <v>2378</v>
      </c>
      <c r="BG57" s="18" t="s">
        <v>495</v>
      </c>
      <c r="BH57" s="105">
        <v>2733</v>
      </c>
      <c r="BI57" s="19" t="s">
        <v>496</v>
      </c>
      <c r="BJ57" s="19">
        <v>48</v>
      </c>
      <c r="BK57" s="19" t="s">
        <v>1499</v>
      </c>
      <c r="BL57" s="220"/>
      <c r="BM57" s="19"/>
      <c r="BN57" s="19"/>
      <c r="BO57" s="12"/>
      <c r="BP57" s="11"/>
      <c r="BQ57" s="11"/>
      <c r="BR57" s="11"/>
      <c r="BS57" s="11"/>
      <c r="BT57" s="11"/>
      <c r="BU57" s="11"/>
      <c r="BV57" s="47" t="s">
        <v>3922</v>
      </c>
      <c r="BW57" s="47" t="s">
        <v>551</v>
      </c>
      <c r="BX57" s="47">
        <v>7</v>
      </c>
      <c r="BY57" s="47" t="s">
        <v>5000</v>
      </c>
      <c r="BZ57" s="48">
        <v>4</v>
      </c>
      <c r="CA57" s="48" t="s">
        <v>3887</v>
      </c>
      <c r="CB57" s="2">
        <v>5</v>
      </c>
      <c r="CC57" s="15"/>
      <c r="CD57" s="15"/>
      <c r="CE57" s="135"/>
      <c r="CF57" s="15"/>
      <c r="CG57" s="15"/>
      <c r="CH57" s="15"/>
      <c r="CJ57" s="2">
        <f>IF(CK57="","","1-22")</f>
      </c>
    </row>
    <row r="58" spans="3:88" ht="18">
      <c r="C58" s="227">
        <f t="shared" si="16"/>
        <v>0</v>
      </c>
      <c r="G58" s="228">
        <f t="shared" si="13"/>
        <v>0</v>
      </c>
      <c r="M58" s="104"/>
      <c r="O58" s="206" t="s">
        <v>4769</v>
      </c>
      <c r="P58" s="94" t="s">
        <v>3566</v>
      </c>
      <c r="Q58" s="180">
        <v>117128</v>
      </c>
      <c r="R58" s="258">
        <v>1250</v>
      </c>
      <c r="S58" s="259">
        <v>42</v>
      </c>
      <c r="T58" s="213" t="s">
        <v>4994</v>
      </c>
      <c r="U58" s="213">
        <v>3</v>
      </c>
      <c r="V58" s="213" t="s">
        <v>3439</v>
      </c>
      <c r="W58" s="213" t="s">
        <v>3361</v>
      </c>
      <c r="X58" s="213" t="s">
        <v>3445</v>
      </c>
      <c r="Y58" s="213" t="s">
        <v>4999</v>
      </c>
      <c r="Z58" s="213" t="s">
        <v>5026</v>
      </c>
      <c r="AA58" s="213">
        <v>36</v>
      </c>
      <c r="AB58" s="213">
        <v>42</v>
      </c>
      <c r="AC58" s="207" t="s">
        <v>4530</v>
      </c>
      <c r="AD58"/>
      <c r="AE58" s="206"/>
      <c r="AF58" s="94"/>
      <c r="AG58" s="94"/>
      <c r="AH58" s="94"/>
      <c r="AI58" s="94"/>
      <c r="AJ58" s="94"/>
      <c r="AK58" s="94"/>
      <c r="AL58" s="94"/>
      <c r="AM58" s="254"/>
      <c r="AN58" s="254"/>
      <c r="AO58" s="94"/>
      <c r="AP58" s="94"/>
      <c r="AQ58" s="94"/>
      <c r="AR58" s="94"/>
      <c r="AS58" s="207"/>
      <c r="AU58" s="27">
        <v>2</v>
      </c>
      <c r="AV58" s="27">
        <v>6</v>
      </c>
      <c r="AW58" s="27">
        <v>75</v>
      </c>
      <c r="AX58" s="27" t="s">
        <v>5000</v>
      </c>
      <c r="AY58" s="29" t="s">
        <v>4629</v>
      </c>
      <c r="BF58" s="219" t="s">
        <v>2379</v>
      </c>
      <c r="BG58" s="18" t="s">
        <v>497</v>
      </c>
      <c r="BH58" s="105">
        <v>2733</v>
      </c>
      <c r="BI58" s="19" t="s">
        <v>498</v>
      </c>
      <c r="BJ58" s="19">
        <v>60</v>
      </c>
      <c r="BK58" s="19" t="s">
        <v>1500</v>
      </c>
      <c r="BL58" s="220"/>
      <c r="BM58" s="19"/>
      <c r="BN58" s="19"/>
      <c r="BO58" s="12"/>
      <c r="BP58" s="11"/>
      <c r="BQ58" s="11"/>
      <c r="BR58" s="11"/>
      <c r="BS58" s="11"/>
      <c r="BT58" s="11"/>
      <c r="BU58" s="11"/>
      <c r="BV58" s="47" t="s">
        <v>3922</v>
      </c>
      <c r="BW58" s="47" t="s">
        <v>551</v>
      </c>
      <c r="BX58" s="47">
        <v>7</v>
      </c>
      <c r="BY58" s="47" t="s">
        <v>5010</v>
      </c>
      <c r="BZ58" s="48">
        <v>4</v>
      </c>
      <c r="CA58" s="48" t="s">
        <v>3887</v>
      </c>
      <c r="CB58" s="2">
        <v>5</v>
      </c>
      <c r="CC58" s="15"/>
      <c r="CD58" s="15"/>
      <c r="CE58" s="135"/>
      <c r="CF58" s="15"/>
      <c r="CG58" s="27"/>
      <c r="CH58" s="15"/>
      <c r="CJ58" s="2">
        <f>IF(CK58="","","1-23")</f>
      </c>
    </row>
    <row r="59" spans="3:86" ht="18">
      <c r="C59" s="227">
        <f t="shared" si="16"/>
        <v>0</v>
      </c>
      <c r="G59" s="228">
        <f t="shared" si="13"/>
        <v>0</v>
      </c>
      <c r="M59" s="104"/>
      <c r="O59" s="206" t="s">
        <v>4772</v>
      </c>
      <c r="P59" s="94" t="s">
        <v>3569</v>
      </c>
      <c r="Q59" s="180">
        <v>109911</v>
      </c>
      <c r="R59" s="258">
        <v>1250</v>
      </c>
      <c r="S59" s="259">
        <v>42</v>
      </c>
      <c r="T59" s="213" t="s">
        <v>4994</v>
      </c>
      <c r="U59" s="213">
        <v>3</v>
      </c>
      <c r="V59" s="213" t="s">
        <v>3439</v>
      </c>
      <c r="W59" s="213" t="s">
        <v>3361</v>
      </c>
      <c r="X59" s="213" t="s">
        <v>3445</v>
      </c>
      <c r="Y59" s="213" t="s">
        <v>4996</v>
      </c>
      <c r="Z59" s="213" t="s">
        <v>5026</v>
      </c>
      <c r="AA59" s="213">
        <v>36</v>
      </c>
      <c r="AB59" s="213">
        <v>42</v>
      </c>
      <c r="AC59" s="207" t="s">
        <v>4530</v>
      </c>
      <c r="AD59"/>
      <c r="AE59" s="206"/>
      <c r="AF59" s="94"/>
      <c r="AG59" s="94"/>
      <c r="AH59" s="94"/>
      <c r="AI59" s="94"/>
      <c r="AJ59" s="94"/>
      <c r="AK59" s="94"/>
      <c r="AL59" s="94"/>
      <c r="AM59" s="254"/>
      <c r="AN59" s="254"/>
      <c r="AO59" s="94"/>
      <c r="AP59" s="94"/>
      <c r="AQ59" s="94"/>
      <c r="AR59" s="94"/>
      <c r="AS59" s="207"/>
      <c r="AU59" s="27">
        <v>2</v>
      </c>
      <c r="AV59" s="27">
        <v>6</v>
      </c>
      <c r="AW59" s="27">
        <v>100</v>
      </c>
      <c r="AX59" s="27" t="s">
        <v>5010</v>
      </c>
      <c r="AY59" s="29" t="s">
        <v>4631</v>
      </c>
      <c r="BF59" s="219" t="s">
        <v>2380</v>
      </c>
      <c r="BG59" s="18" t="s">
        <v>3738</v>
      </c>
      <c r="BH59" s="105">
        <v>2733</v>
      </c>
      <c r="BI59" s="19" t="s">
        <v>3736</v>
      </c>
      <c r="BJ59" s="19" t="s">
        <v>3729</v>
      </c>
      <c r="BK59" s="19" t="s">
        <v>1501</v>
      </c>
      <c r="BL59" s="220"/>
      <c r="BM59" s="19"/>
      <c r="BN59" s="19"/>
      <c r="BO59" s="12"/>
      <c r="BP59" s="11"/>
      <c r="BQ59" s="11"/>
      <c r="BR59" s="11"/>
      <c r="BS59" s="11"/>
      <c r="BT59" s="11"/>
      <c r="BU59" s="11"/>
      <c r="BV59" s="47" t="s">
        <v>3922</v>
      </c>
      <c r="BW59" s="47" t="s">
        <v>551</v>
      </c>
      <c r="BX59" s="47">
        <v>7</v>
      </c>
      <c r="BY59" s="47" t="s">
        <v>5012</v>
      </c>
      <c r="BZ59" s="48">
        <v>4</v>
      </c>
      <c r="CA59" s="48" t="s">
        <v>3887</v>
      </c>
      <c r="CB59" s="2">
        <v>5</v>
      </c>
      <c r="CC59" s="15"/>
      <c r="CD59" s="15"/>
      <c r="CE59" s="135"/>
      <c r="CF59" s="15"/>
      <c r="CG59" s="27"/>
      <c r="CH59" s="15"/>
    </row>
    <row r="60" spans="3:86" ht="18">
      <c r="C60" s="227">
        <f t="shared" si="16"/>
        <v>0</v>
      </c>
      <c r="G60" s="228">
        <f t="shared" si="13"/>
        <v>0</v>
      </c>
      <c r="M60" s="104"/>
      <c r="O60" s="206" t="s">
        <v>4774</v>
      </c>
      <c r="P60" s="94" t="s">
        <v>3571</v>
      </c>
      <c r="Q60" s="180">
        <v>72710</v>
      </c>
      <c r="R60" s="258">
        <v>800</v>
      </c>
      <c r="S60" s="259">
        <v>42</v>
      </c>
      <c r="T60" s="213" t="s">
        <v>4994</v>
      </c>
      <c r="U60" s="213">
        <v>3</v>
      </c>
      <c r="V60" s="213" t="s">
        <v>3443</v>
      </c>
      <c r="W60" s="213" t="s">
        <v>3572</v>
      </c>
      <c r="X60" s="213" t="s">
        <v>3441</v>
      </c>
      <c r="Y60" s="213" t="s">
        <v>4995</v>
      </c>
      <c r="Z60" s="213" t="s">
        <v>5026</v>
      </c>
      <c r="AA60" s="213">
        <v>36</v>
      </c>
      <c r="AB60" s="213">
        <v>42</v>
      </c>
      <c r="AC60" s="207" t="s">
        <v>4530</v>
      </c>
      <c r="AD60"/>
      <c r="AE60" s="206"/>
      <c r="AF60" s="94"/>
      <c r="AG60" s="94"/>
      <c r="AH60" s="94"/>
      <c r="AI60" s="94"/>
      <c r="AJ60" s="94"/>
      <c r="AK60" s="94"/>
      <c r="AL60" s="94"/>
      <c r="AM60" s="254"/>
      <c r="AN60" s="254"/>
      <c r="AO60" s="94"/>
      <c r="AP60" s="94"/>
      <c r="AQ60" s="94"/>
      <c r="AR60" s="94"/>
      <c r="AS60" s="207"/>
      <c r="AU60" s="27">
        <v>2</v>
      </c>
      <c r="AV60" s="27">
        <v>7</v>
      </c>
      <c r="AW60" s="27">
        <v>75</v>
      </c>
      <c r="AX60" s="27" t="s">
        <v>5010</v>
      </c>
      <c r="AY60" s="29" t="s">
        <v>4629</v>
      </c>
      <c r="BF60" s="219" t="s">
        <v>2381</v>
      </c>
      <c r="BG60" s="18" t="s">
        <v>500</v>
      </c>
      <c r="BH60" s="105">
        <v>2733</v>
      </c>
      <c r="BI60" s="19" t="s">
        <v>501</v>
      </c>
      <c r="BJ60" s="19" t="s">
        <v>2265</v>
      </c>
      <c r="BK60" s="19" t="s">
        <v>1502</v>
      </c>
      <c r="BL60" s="220"/>
      <c r="BM60" s="19"/>
      <c r="BN60" s="19"/>
      <c r="BO60" s="12"/>
      <c r="BP60" s="11"/>
      <c r="BQ60" s="11"/>
      <c r="BR60" s="11"/>
      <c r="BS60" s="11"/>
      <c r="BT60" s="11"/>
      <c r="BU60" s="11"/>
      <c r="BV60" s="47" t="s">
        <v>3923</v>
      </c>
      <c r="BW60" s="47" t="s">
        <v>456</v>
      </c>
      <c r="BX60" s="47">
        <v>8</v>
      </c>
      <c r="BY60" s="47" t="s">
        <v>4994</v>
      </c>
      <c r="BZ60" s="48">
        <v>3</v>
      </c>
      <c r="CA60" s="48" t="s">
        <v>3887</v>
      </c>
      <c r="CB60" s="2">
        <v>10</v>
      </c>
      <c r="CC60" s="15"/>
      <c r="CD60" s="15"/>
      <c r="CE60" s="135"/>
      <c r="CF60" s="15"/>
      <c r="CG60" s="27"/>
      <c r="CH60" s="15"/>
    </row>
    <row r="61" spans="3:86" ht="18">
      <c r="C61" s="227">
        <f t="shared" si="16"/>
        <v>0</v>
      </c>
      <c r="G61" s="228">
        <f t="shared" si="13"/>
        <v>0</v>
      </c>
      <c r="M61" s="104"/>
      <c r="O61" s="206" t="s">
        <v>4775</v>
      </c>
      <c r="P61" s="94" t="s">
        <v>2845</v>
      </c>
      <c r="Q61" s="180">
        <v>85556</v>
      </c>
      <c r="R61" s="258">
        <v>800</v>
      </c>
      <c r="S61" s="259">
        <v>42</v>
      </c>
      <c r="T61" s="213" t="s">
        <v>4994</v>
      </c>
      <c r="U61" s="213">
        <v>3</v>
      </c>
      <c r="V61" s="213" t="s">
        <v>3443</v>
      </c>
      <c r="W61" s="213" t="s">
        <v>3572</v>
      </c>
      <c r="X61" s="213" t="s">
        <v>3441</v>
      </c>
      <c r="Y61" s="213" t="s">
        <v>4999</v>
      </c>
      <c r="Z61" s="213" t="s">
        <v>5026</v>
      </c>
      <c r="AA61" s="213">
        <v>36</v>
      </c>
      <c r="AB61" s="213">
        <v>42</v>
      </c>
      <c r="AC61" s="207" t="s">
        <v>4530</v>
      </c>
      <c r="AD61"/>
      <c r="AE61" s="206"/>
      <c r="AF61" s="94"/>
      <c r="AG61" s="94"/>
      <c r="AH61" s="94"/>
      <c r="AI61" s="94"/>
      <c r="AJ61" s="94"/>
      <c r="AK61" s="94"/>
      <c r="AL61" s="94"/>
      <c r="AM61" s="254"/>
      <c r="AN61" s="254"/>
      <c r="AO61" s="94"/>
      <c r="AP61" s="94"/>
      <c r="AQ61" s="94"/>
      <c r="AR61" s="94"/>
      <c r="AS61" s="207"/>
      <c r="AU61" s="27">
        <v>2</v>
      </c>
      <c r="AV61" s="27">
        <v>7</v>
      </c>
      <c r="AW61" s="27">
        <v>100</v>
      </c>
      <c r="AX61" s="27" t="s">
        <v>5010</v>
      </c>
      <c r="AY61" s="29" t="s">
        <v>4631</v>
      </c>
      <c r="BF61" s="219" t="s">
        <v>2382</v>
      </c>
      <c r="BG61" s="18" t="s">
        <v>502</v>
      </c>
      <c r="BH61" s="105">
        <v>2733</v>
      </c>
      <c r="BI61" s="19" t="s">
        <v>503</v>
      </c>
      <c r="BJ61" s="19" t="s">
        <v>2266</v>
      </c>
      <c r="BK61" s="19" t="s">
        <v>1503</v>
      </c>
      <c r="BL61" s="220"/>
      <c r="BM61" s="19"/>
      <c r="BN61" s="19"/>
      <c r="BO61" s="12"/>
      <c r="BP61" s="11"/>
      <c r="BQ61" s="11"/>
      <c r="BR61" s="11"/>
      <c r="BS61" s="11"/>
      <c r="BT61" s="11"/>
      <c r="BU61" s="11"/>
      <c r="BV61" s="47" t="s">
        <v>3923</v>
      </c>
      <c r="BW61" s="47" t="s">
        <v>456</v>
      </c>
      <c r="BX61" s="47">
        <v>8</v>
      </c>
      <c r="BY61" s="47" t="s">
        <v>4997</v>
      </c>
      <c r="BZ61" s="48">
        <v>3</v>
      </c>
      <c r="CA61" s="48" t="s">
        <v>3887</v>
      </c>
      <c r="CB61" s="2">
        <v>10</v>
      </c>
      <c r="CE61" s="2"/>
      <c r="CG61" s="27"/>
      <c r="CH61" s="15"/>
    </row>
    <row r="62" spans="3:86" ht="18">
      <c r="C62" s="227">
        <f t="shared" si="16"/>
        <v>0</v>
      </c>
      <c r="G62" s="228">
        <f t="shared" si="13"/>
        <v>0</v>
      </c>
      <c r="M62" s="104"/>
      <c r="O62" s="206" t="s">
        <v>4776</v>
      </c>
      <c r="P62" s="94" t="s">
        <v>2846</v>
      </c>
      <c r="Q62" s="180">
        <v>78339</v>
      </c>
      <c r="R62" s="258">
        <v>800</v>
      </c>
      <c r="S62" s="259">
        <v>42</v>
      </c>
      <c r="T62" s="213" t="s">
        <v>4994</v>
      </c>
      <c r="U62" s="213">
        <v>3</v>
      </c>
      <c r="V62" s="213" t="s">
        <v>3443</v>
      </c>
      <c r="W62" s="213" t="s">
        <v>3572</v>
      </c>
      <c r="X62" s="213" t="s">
        <v>3441</v>
      </c>
      <c r="Y62" s="213" t="s">
        <v>4996</v>
      </c>
      <c r="Z62" s="213" t="s">
        <v>5026</v>
      </c>
      <c r="AA62" s="213">
        <v>36</v>
      </c>
      <c r="AB62" s="213">
        <v>42</v>
      </c>
      <c r="AC62" s="207" t="s">
        <v>4530</v>
      </c>
      <c r="AD62"/>
      <c r="AE62" s="206"/>
      <c r="AF62" s="94"/>
      <c r="AG62" s="94"/>
      <c r="AH62" s="94"/>
      <c r="AI62" s="94"/>
      <c r="AJ62" s="94"/>
      <c r="AK62" s="94"/>
      <c r="AL62" s="94"/>
      <c r="AM62" s="254"/>
      <c r="AN62" s="254"/>
      <c r="AO62" s="94"/>
      <c r="AP62" s="94"/>
      <c r="AQ62" s="94"/>
      <c r="AR62" s="94"/>
      <c r="AS62" s="207"/>
      <c r="AU62" s="27">
        <v>2</v>
      </c>
      <c r="AV62" s="27">
        <v>8</v>
      </c>
      <c r="AW62" s="27">
        <v>100</v>
      </c>
      <c r="AX62" s="27" t="s">
        <v>5012</v>
      </c>
      <c r="AY62" s="29" t="s">
        <v>4631</v>
      </c>
      <c r="BF62" s="219" t="s">
        <v>2383</v>
      </c>
      <c r="BG62" s="18" t="s">
        <v>504</v>
      </c>
      <c r="BH62" s="105">
        <v>2733</v>
      </c>
      <c r="BI62" s="19" t="s">
        <v>505</v>
      </c>
      <c r="BJ62" s="19" t="s">
        <v>2268</v>
      </c>
      <c r="BK62" s="19" t="s">
        <v>1504</v>
      </c>
      <c r="BL62" s="220"/>
      <c r="BM62" s="19"/>
      <c r="BN62" s="19"/>
      <c r="BO62" s="12"/>
      <c r="BP62" s="11"/>
      <c r="BQ62" s="11"/>
      <c r="BR62" s="11"/>
      <c r="BS62" s="11"/>
      <c r="BT62" s="11"/>
      <c r="BU62" s="11"/>
      <c r="BV62" s="47" t="s">
        <v>3923</v>
      </c>
      <c r="BW62" s="47" t="s">
        <v>456</v>
      </c>
      <c r="BX62" s="47">
        <v>8</v>
      </c>
      <c r="BY62" s="47" t="s">
        <v>5010</v>
      </c>
      <c r="BZ62" s="48">
        <v>3</v>
      </c>
      <c r="CA62" s="48" t="s">
        <v>3887</v>
      </c>
      <c r="CB62" s="2">
        <v>10</v>
      </c>
      <c r="CE62" s="2"/>
      <c r="CG62" s="27"/>
      <c r="CH62" s="15"/>
    </row>
    <row r="63" spans="3:80" ht="18">
      <c r="C63" s="227">
        <f t="shared" si="16"/>
        <v>0</v>
      </c>
      <c r="G63" s="228">
        <f t="shared" si="13"/>
        <v>0</v>
      </c>
      <c r="M63" s="104"/>
      <c r="O63" s="206" t="s">
        <v>4777</v>
      </c>
      <c r="P63" s="94" t="s">
        <v>2847</v>
      </c>
      <c r="Q63" s="180">
        <v>109765</v>
      </c>
      <c r="R63" s="258">
        <v>800</v>
      </c>
      <c r="S63" s="259">
        <v>42</v>
      </c>
      <c r="T63" s="213" t="s">
        <v>4994</v>
      </c>
      <c r="U63" s="213">
        <v>3</v>
      </c>
      <c r="V63" s="213" t="s">
        <v>3443</v>
      </c>
      <c r="W63" s="213" t="s">
        <v>3572</v>
      </c>
      <c r="X63" s="213" t="s">
        <v>3445</v>
      </c>
      <c r="Y63" s="213" t="s">
        <v>4999</v>
      </c>
      <c r="Z63" s="213" t="s">
        <v>5026</v>
      </c>
      <c r="AA63" s="213">
        <v>36</v>
      </c>
      <c r="AB63" s="213">
        <v>42</v>
      </c>
      <c r="AC63" s="207" t="s">
        <v>4530</v>
      </c>
      <c r="AD63"/>
      <c r="AE63" s="206"/>
      <c r="AF63" s="94"/>
      <c r="AG63" s="94"/>
      <c r="AH63" s="94"/>
      <c r="AI63" s="94"/>
      <c r="AJ63" s="94"/>
      <c r="AK63" s="94"/>
      <c r="AL63" s="94"/>
      <c r="AM63" s="254"/>
      <c r="AN63" s="254"/>
      <c r="AO63" s="94"/>
      <c r="AP63" s="94"/>
      <c r="AQ63" s="94"/>
      <c r="AR63" s="94"/>
      <c r="AS63" s="207"/>
      <c r="AU63" s="27">
        <v>2</v>
      </c>
      <c r="AV63" s="27">
        <v>9</v>
      </c>
      <c r="AW63" s="27">
        <v>100</v>
      </c>
      <c r="AX63" s="27" t="s">
        <v>5012</v>
      </c>
      <c r="AY63" s="29" t="s">
        <v>4631</v>
      </c>
      <c r="BF63" s="219" t="s">
        <v>2384</v>
      </c>
      <c r="BG63" s="18" t="s">
        <v>3739</v>
      </c>
      <c r="BH63" s="105">
        <v>4998</v>
      </c>
      <c r="BI63" s="19" t="s">
        <v>3735</v>
      </c>
      <c r="BJ63" s="19" t="s">
        <v>2269</v>
      </c>
      <c r="BK63" s="19" t="s">
        <v>1505</v>
      </c>
      <c r="BL63" s="220"/>
      <c r="BM63" s="19"/>
      <c r="BN63" s="19"/>
      <c r="BO63" s="12"/>
      <c r="BP63" s="11"/>
      <c r="BQ63" s="11"/>
      <c r="BR63" s="11"/>
      <c r="BS63" s="11"/>
      <c r="BT63" s="11"/>
      <c r="BU63" s="11"/>
      <c r="BV63" s="47" t="s">
        <v>3923</v>
      </c>
      <c r="BW63" s="47" t="s">
        <v>456</v>
      </c>
      <c r="BX63" s="47">
        <v>8</v>
      </c>
      <c r="BY63" s="47" t="s">
        <v>5010</v>
      </c>
      <c r="BZ63" s="48">
        <v>4</v>
      </c>
      <c r="CA63" s="48" t="s">
        <v>3887</v>
      </c>
      <c r="CB63" s="2">
        <v>10</v>
      </c>
    </row>
    <row r="64" spans="3:80" ht="18">
      <c r="C64" s="227">
        <f t="shared" si="16"/>
        <v>0</v>
      </c>
      <c r="G64" s="228">
        <f t="shared" si="13"/>
        <v>0</v>
      </c>
      <c r="M64" s="104"/>
      <c r="O64" s="206" t="s">
        <v>4778</v>
      </c>
      <c r="P64" s="94" t="s">
        <v>2848</v>
      </c>
      <c r="Q64" s="180">
        <v>102549</v>
      </c>
      <c r="R64" s="258">
        <v>800</v>
      </c>
      <c r="S64" s="259">
        <v>42</v>
      </c>
      <c r="T64" s="213" t="s">
        <v>4994</v>
      </c>
      <c r="U64" s="213">
        <v>3</v>
      </c>
      <c r="V64" s="213" t="s">
        <v>3443</v>
      </c>
      <c r="W64" s="213" t="s">
        <v>3572</v>
      </c>
      <c r="X64" s="213" t="s">
        <v>3445</v>
      </c>
      <c r="Y64" s="213" t="s">
        <v>4996</v>
      </c>
      <c r="Z64" s="213" t="s">
        <v>5026</v>
      </c>
      <c r="AA64" s="213">
        <v>36</v>
      </c>
      <c r="AB64" s="213">
        <v>42</v>
      </c>
      <c r="AC64" s="207" t="s">
        <v>4530</v>
      </c>
      <c r="AD64"/>
      <c r="AE64" s="206"/>
      <c r="AF64" s="94"/>
      <c r="AG64" s="94"/>
      <c r="AH64" s="94"/>
      <c r="AI64" s="94"/>
      <c r="AJ64" s="94"/>
      <c r="AK64" s="94"/>
      <c r="AL64" s="94"/>
      <c r="AM64" s="254"/>
      <c r="AN64" s="254"/>
      <c r="AO64" s="94"/>
      <c r="AP64" s="94"/>
      <c r="AQ64" s="94"/>
      <c r="AR64" s="94"/>
      <c r="AS64" s="207"/>
      <c r="AV64" s="27"/>
      <c r="AW64" s="27"/>
      <c r="AX64" s="29"/>
      <c r="AY64" s="31"/>
      <c r="BF64" s="219" t="s">
        <v>3176</v>
      </c>
      <c r="BG64" s="18" t="s">
        <v>3740</v>
      </c>
      <c r="BH64" s="105">
        <v>4998</v>
      </c>
      <c r="BI64" s="19" t="s">
        <v>483</v>
      </c>
      <c r="BJ64" s="19" t="s">
        <v>483</v>
      </c>
      <c r="BK64" s="19" t="s">
        <v>1506</v>
      </c>
      <c r="BL64" s="220"/>
      <c r="BM64" s="19"/>
      <c r="BN64" s="19"/>
      <c r="BO64" s="12"/>
      <c r="BP64" s="11"/>
      <c r="BQ64" s="11"/>
      <c r="BR64" s="11"/>
      <c r="BS64" s="11"/>
      <c r="BT64" s="11"/>
      <c r="BU64" s="11"/>
      <c r="BV64" s="47" t="s">
        <v>3923</v>
      </c>
      <c r="BW64" s="47" t="s">
        <v>456</v>
      </c>
      <c r="BX64" s="47">
        <v>8</v>
      </c>
      <c r="BY64" s="47" t="s">
        <v>5012</v>
      </c>
      <c r="BZ64" s="48">
        <v>3</v>
      </c>
      <c r="CA64" s="48" t="s">
        <v>3887</v>
      </c>
      <c r="CB64" s="2">
        <v>10</v>
      </c>
    </row>
    <row r="65" spans="3:80" ht="18">
      <c r="C65" s="227">
        <f t="shared" si="16"/>
        <v>0</v>
      </c>
      <c r="M65" s="104"/>
      <c r="O65" s="206" t="s">
        <v>4779</v>
      </c>
      <c r="P65" s="94" t="s">
        <v>2849</v>
      </c>
      <c r="Q65" s="180">
        <v>80655</v>
      </c>
      <c r="R65" s="258">
        <v>1250</v>
      </c>
      <c r="S65" s="259">
        <v>42</v>
      </c>
      <c r="T65" s="213" t="s">
        <v>4994</v>
      </c>
      <c r="U65" s="213">
        <v>3</v>
      </c>
      <c r="V65" s="213" t="s">
        <v>3443</v>
      </c>
      <c r="W65" s="213" t="s">
        <v>3572</v>
      </c>
      <c r="X65" s="213" t="s">
        <v>3441</v>
      </c>
      <c r="Y65" s="213" t="s">
        <v>4995</v>
      </c>
      <c r="Z65" s="213" t="s">
        <v>5026</v>
      </c>
      <c r="AA65" s="213">
        <v>36</v>
      </c>
      <c r="AB65" s="213">
        <v>42</v>
      </c>
      <c r="AC65" s="207" t="s">
        <v>4530</v>
      </c>
      <c r="AD65"/>
      <c r="AE65" s="206"/>
      <c r="AF65" s="94"/>
      <c r="AG65" s="94"/>
      <c r="AH65" s="94"/>
      <c r="AI65" s="94"/>
      <c r="AJ65" s="94"/>
      <c r="AK65" s="94"/>
      <c r="AL65" s="94"/>
      <c r="AM65" s="254"/>
      <c r="AN65" s="254"/>
      <c r="AO65" s="94"/>
      <c r="AP65" s="94"/>
      <c r="AQ65" s="94"/>
      <c r="AR65" s="94"/>
      <c r="AS65" s="207"/>
      <c r="AV65" s="27"/>
      <c r="AW65" s="27"/>
      <c r="AX65" s="29"/>
      <c r="AY65" s="31"/>
      <c r="BF65" s="219" t="s">
        <v>3177</v>
      </c>
      <c r="BG65" s="18" t="s">
        <v>3741</v>
      </c>
      <c r="BH65" s="105">
        <v>2733</v>
      </c>
      <c r="BI65" s="19" t="s">
        <v>3734</v>
      </c>
      <c r="BJ65" s="19">
        <v>24</v>
      </c>
      <c r="BK65" s="19" t="s">
        <v>1516</v>
      </c>
      <c r="BL65" s="220"/>
      <c r="BM65" s="19"/>
      <c r="BN65" s="19"/>
      <c r="BO65" s="12"/>
      <c r="BP65" s="11"/>
      <c r="BQ65" s="11"/>
      <c r="BR65" s="11"/>
      <c r="BS65" s="11"/>
      <c r="BT65" s="11"/>
      <c r="BU65" s="11"/>
      <c r="BV65" s="47" t="s">
        <v>3923</v>
      </c>
      <c r="BW65" s="47" t="s">
        <v>456</v>
      </c>
      <c r="BX65" s="47">
        <v>8</v>
      </c>
      <c r="BY65" s="47" t="s">
        <v>5012</v>
      </c>
      <c r="BZ65" s="48">
        <v>4</v>
      </c>
      <c r="CA65" s="48" t="s">
        <v>3887</v>
      </c>
      <c r="CB65" s="2">
        <v>10</v>
      </c>
    </row>
    <row r="66" spans="3:80" ht="18">
      <c r="C66" s="227">
        <f t="shared" si="16"/>
        <v>0</v>
      </c>
      <c r="M66" s="104"/>
      <c r="O66" s="206" t="s">
        <v>4780</v>
      </c>
      <c r="P66" s="94" t="s">
        <v>2850</v>
      </c>
      <c r="Q66" s="180">
        <v>93504</v>
      </c>
      <c r="R66" s="258">
        <v>1250</v>
      </c>
      <c r="S66" s="259">
        <v>42</v>
      </c>
      <c r="T66" s="213" t="s">
        <v>4994</v>
      </c>
      <c r="U66" s="213">
        <v>3</v>
      </c>
      <c r="V66" s="213" t="s">
        <v>3443</v>
      </c>
      <c r="W66" s="213" t="s">
        <v>3572</v>
      </c>
      <c r="X66" s="213" t="s">
        <v>3441</v>
      </c>
      <c r="Y66" s="213" t="s">
        <v>4999</v>
      </c>
      <c r="Z66" s="213" t="s">
        <v>5026</v>
      </c>
      <c r="AA66" s="213">
        <v>36</v>
      </c>
      <c r="AB66" s="213">
        <v>42</v>
      </c>
      <c r="AC66" s="207" t="s">
        <v>4530</v>
      </c>
      <c r="AD66"/>
      <c r="AE66" s="206"/>
      <c r="AF66" s="94"/>
      <c r="AG66" s="94"/>
      <c r="AH66" s="94"/>
      <c r="AI66" s="94"/>
      <c r="AJ66" s="94"/>
      <c r="AK66" s="94"/>
      <c r="AL66" s="94"/>
      <c r="AM66" s="254"/>
      <c r="AN66" s="254"/>
      <c r="AO66" s="94"/>
      <c r="AP66" s="94"/>
      <c r="AQ66" s="94"/>
      <c r="AR66" s="94"/>
      <c r="AS66" s="207"/>
      <c r="AU66" s="27" t="s">
        <v>3484</v>
      </c>
      <c r="AV66" s="27" t="s">
        <v>2624</v>
      </c>
      <c r="AW66" s="27" t="s">
        <v>2625</v>
      </c>
      <c r="AX66" s="30" t="s">
        <v>3449</v>
      </c>
      <c r="AY66" s="29" t="s">
        <v>3450</v>
      </c>
      <c r="BF66" s="219" t="s">
        <v>3178</v>
      </c>
      <c r="BG66" s="18" t="s">
        <v>509</v>
      </c>
      <c r="BH66" s="105">
        <v>2733</v>
      </c>
      <c r="BI66" s="19" t="s">
        <v>494</v>
      </c>
      <c r="BJ66" s="19">
        <v>30</v>
      </c>
      <c r="BK66" s="19" t="s">
        <v>1507</v>
      </c>
      <c r="BL66" s="220"/>
      <c r="BM66" s="19"/>
      <c r="BN66" s="19"/>
      <c r="BO66" s="12"/>
      <c r="BP66" s="11"/>
      <c r="BQ66" s="11"/>
      <c r="BR66" s="11"/>
      <c r="BS66" s="11"/>
      <c r="BT66" s="11"/>
      <c r="BU66" s="11"/>
      <c r="BV66" s="47" t="s">
        <v>3924</v>
      </c>
      <c r="BW66" s="47" t="s">
        <v>2267</v>
      </c>
      <c r="BX66" s="47">
        <v>9</v>
      </c>
      <c r="BY66" s="47" t="s">
        <v>4994</v>
      </c>
      <c r="BZ66" s="48">
        <v>4</v>
      </c>
      <c r="CA66" s="48" t="s">
        <v>3887</v>
      </c>
      <c r="CB66" s="2">
        <v>10</v>
      </c>
    </row>
    <row r="67" spans="3:80" ht="18">
      <c r="C67" s="227">
        <f t="shared" si="16"/>
        <v>0</v>
      </c>
      <c r="M67" s="104"/>
      <c r="O67" s="206" t="s">
        <v>4781</v>
      </c>
      <c r="P67" s="94" t="s">
        <v>2851</v>
      </c>
      <c r="Q67" s="180">
        <v>86287</v>
      </c>
      <c r="R67" s="258">
        <v>1250</v>
      </c>
      <c r="S67" s="259">
        <v>42</v>
      </c>
      <c r="T67" s="213" t="s">
        <v>4994</v>
      </c>
      <c r="U67" s="213">
        <v>3</v>
      </c>
      <c r="V67" s="213" t="s">
        <v>3443</v>
      </c>
      <c r="W67" s="213" t="s">
        <v>3572</v>
      </c>
      <c r="X67" s="213" t="s">
        <v>3441</v>
      </c>
      <c r="Y67" s="213" t="s">
        <v>4996</v>
      </c>
      <c r="Z67" s="213" t="s">
        <v>5026</v>
      </c>
      <c r="AA67" s="213">
        <v>36</v>
      </c>
      <c r="AB67" s="213">
        <v>42</v>
      </c>
      <c r="AC67" s="207" t="s">
        <v>4530</v>
      </c>
      <c r="AD67"/>
      <c r="AE67" s="206"/>
      <c r="AF67" s="94"/>
      <c r="AG67" s="94"/>
      <c r="AH67" s="94"/>
      <c r="AI67" s="94"/>
      <c r="AJ67" s="94"/>
      <c r="AK67" s="94"/>
      <c r="AL67" s="94"/>
      <c r="AM67" s="254"/>
      <c r="AN67" s="254"/>
      <c r="AO67" s="94"/>
      <c r="AP67" s="94"/>
      <c r="AQ67" s="94"/>
      <c r="AR67" s="94"/>
      <c r="AS67" s="207"/>
      <c r="AU67" s="2">
        <v>1</v>
      </c>
      <c r="AV67" s="27">
        <v>1</v>
      </c>
      <c r="AW67" s="27">
        <v>42</v>
      </c>
      <c r="AX67" s="29" t="s">
        <v>4994</v>
      </c>
      <c r="AY67" s="31" t="s">
        <v>2792</v>
      </c>
      <c r="BF67" s="219" t="s">
        <v>3179</v>
      </c>
      <c r="BG67" s="18" t="s">
        <v>510</v>
      </c>
      <c r="BH67" s="105">
        <v>2733</v>
      </c>
      <c r="BI67" s="19" t="s">
        <v>496</v>
      </c>
      <c r="BJ67" s="19">
        <v>48</v>
      </c>
      <c r="BK67" s="19" t="s">
        <v>1508</v>
      </c>
      <c r="BL67" s="220"/>
      <c r="BM67" s="19"/>
      <c r="BN67" s="19"/>
      <c r="BO67" s="12"/>
      <c r="BP67" s="11"/>
      <c r="BQ67" s="11"/>
      <c r="BR67" s="11"/>
      <c r="BS67" s="11"/>
      <c r="BT67" s="11"/>
      <c r="BU67" s="11"/>
      <c r="BV67" s="47" t="s">
        <v>3924</v>
      </c>
      <c r="BW67" s="47" t="s">
        <v>2267</v>
      </c>
      <c r="BX67" s="47">
        <v>9</v>
      </c>
      <c r="BY67" s="47" t="s">
        <v>4997</v>
      </c>
      <c r="BZ67" s="48">
        <v>4</v>
      </c>
      <c r="CA67" s="48" t="s">
        <v>3887</v>
      </c>
      <c r="CB67" s="2">
        <v>10</v>
      </c>
    </row>
    <row r="68" spans="3:80" ht="18">
      <c r="C68" s="227">
        <f t="shared" si="16"/>
        <v>0</v>
      </c>
      <c r="M68" s="104"/>
      <c r="O68" s="206" t="s">
        <v>4782</v>
      </c>
      <c r="P68" s="94" t="s">
        <v>3580</v>
      </c>
      <c r="Q68" s="180">
        <v>117713</v>
      </c>
      <c r="R68" s="258">
        <v>1250</v>
      </c>
      <c r="S68" s="259">
        <v>42</v>
      </c>
      <c r="T68" s="213" t="s">
        <v>4994</v>
      </c>
      <c r="U68" s="213">
        <v>3</v>
      </c>
      <c r="V68" s="213" t="s">
        <v>3443</v>
      </c>
      <c r="W68" s="213" t="s">
        <v>3572</v>
      </c>
      <c r="X68" s="213" t="s">
        <v>3445</v>
      </c>
      <c r="Y68" s="213" t="s">
        <v>4999</v>
      </c>
      <c r="Z68" s="213" t="s">
        <v>5026</v>
      </c>
      <c r="AA68" s="213">
        <v>36</v>
      </c>
      <c r="AB68" s="213">
        <v>42</v>
      </c>
      <c r="AC68" s="207" t="s">
        <v>4530</v>
      </c>
      <c r="AD68"/>
      <c r="AE68" s="206"/>
      <c r="AF68" s="94"/>
      <c r="AG68" s="94"/>
      <c r="AH68" s="94"/>
      <c r="AI68" s="94"/>
      <c r="AJ68" s="94"/>
      <c r="AK68" s="94"/>
      <c r="AL68" s="94"/>
      <c r="AM68" s="254"/>
      <c r="AN68" s="254"/>
      <c r="AO68" s="94"/>
      <c r="AP68" s="94"/>
      <c r="AQ68" s="94"/>
      <c r="AR68" s="94"/>
      <c r="AS68" s="207"/>
      <c r="AU68" s="2">
        <v>1</v>
      </c>
      <c r="AV68" s="2">
        <v>1</v>
      </c>
      <c r="AW68" s="27">
        <v>50</v>
      </c>
      <c r="AX68" s="29" t="s">
        <v>4994</v>
      </c>
      <c r="AY68" s="31" t="s">
        <v>2793</v>
      </c>
      <c r="BF68" s="219" t="s">
        <v>3180</v>
      </c>
      <c r="BG68" s="18" t="s">
        <v>511</v>
      </c>
      <c r="BH68" s="105">
        <v>2733</v>
      </c>
      <c r="BI68" s="19" t="s">
        <v>498</v>
      </c>
      <c r="BJ68" s="19">
        <v>60</v>
      </c>
      <c r="BK68" s="19" t="s">
        <v>1509</v>
      </c>
      <c r="BL68" s="220"/>
      <c r="BM68" s="19"/>
      <c r="BN68" s="19"/>
      <c r="BO68" s="12"/>
      <c r="BP68" s="11"/>
      <c r="BQ68" s="11"/>
      <c r="BR68" s="11"/>
      <c r="BS68" s="11"/>
      <c r="BT68" s="11"/>
      <c r="BU68" s="11"/>
      <c r="BV68" s="47" t="s">
        <v>3925</v>
      </c>
      <c r="BW68" s="47" t="s">
        <v>2267</v>
      </c>
      <c r="BX68" s="47">
        <v>10</v>
      </c>
      <c r="BY68" s="47" t="s">
        <v>5000</v>
      </c>
      <c r="BZ68" s="48">
        <v>3</v>
      </c>
      <c r="CA68" s="48" t="s">
        <v>3887</v>
      </c>
      <c r="CB68" s="2">
        <v>10</v>
      </c>
    </row>
    <row r="69" spans="3:80" ht="18">
      <c r="C69" s="227">
        <f t="shared" si="16"/>
        <v>0</v>
      </c>
      <c r="M69" s="104"/>
      <c r="O69" s="206" t="s">
        <v>4783</v>
      </c>
      <c r="P69" s="94" t="s">
        <v>3581</v>
      </c>
      <c r="Q69" s="180">
        <v>110496</v>
      </c>
      <c r="R69" s="258">
        <v>1250</v>
      </c>
      <c r="S69" s="259">
        <v>42</v>
      </c>
      <c r="T69" s="213" t="s">
        <v>4994</v>
      </c>
      <c r="U69" s="213">
        <v>3</v>
      </c>
      <c r="V69" s="213" t="s">
        <v>3443</v>
      </c>
      <c r="W69" s="213" t="s">
        <v>3572</v>
      </c>
      <c r="X69" s="213" t="s">
        <v>3445</v>
      </c>
      <c r="Y69" s="213" t="s">
        <v>4996</v>
      </c>
      <c r="Z69" s="213" t="s">
        <v>5026</v>
      </c>
      <c r="AA69" s="213">
        <v>36</v>
      </c>
      <c r="AB69" s="213">
        <v>42</v>
      </c>
      <c r="AC69" s="207" t="s">
        <v>4530</v>
      </c>
      <c r="AD69"/>
      <c r="AE69" s="206"/>
      <c r="AF69" s="94"/>
      <c r="AG69" s="94"/>
      <c r="AH69" s="94"/>
      <c r="AI69" s="94"/>
      <c r="AJ69" s="94"/>
      <c r="AK69" s="94"/>
      <c r="AL69" s="94"/>
      <c r="AM69" s="254"/>
      <c r="AN69" s="254"/>
      <c r="AO69" s="94"/>
      <c r="AP69" s="94"/>
      <c r="AQ69" s="94"/>
      <c r="AR69" s="94"/>
      <c r="AS69" s="207"/>
      <c r="AV69" s="27"/>
      <c r="AW69" s="27"/>
      <c r="AX69" s="29"/>
      <c r="AY69" s="31"/>
      <c r="BF69" s="219" t="s">
        <v>3181</v>
      </c>
      <c r="BG69" s="18" t="s">
        <v>3742</v>
      </c>
      <c r="BH69" s="105">
        <v>2733</v>
      </c>
      <c r="BI69" s="19" t="s">
        <v>3736</v>
      </c>
      <c r="BJ69" s="19" t="s">
        <v>3729</v>
      </c>
      <c r="BK69" s="19" t="s">
        <v>1510</v>
      </c>
      <c r="BL69" s="220"/>
      <c r="BM69" s="19"/>
      <c r="BN69" s="19"/>
      <c r="BO69" s="12"/>
      <c r="BP69" s="11"/>
      <c r="BQ69" s="11"/>
      <c r="BR69" s="11"/>
      <c r="BS69" s="11"/>
      <c r="BT69" s="11"/>
      <c r="BU69" s="11"/>
      <c r="BV69" s="47" t="s">
        <v>3926</v>
      </c>
      <c r="BW69" s="47" t="s">
        <v>2267</v>
      </c>
      <c r="BX69" s="47">
        <v>11</v>
      </c>
      <c r="BY69" s="47" t="s">
        <v>5000</v>
      </c>
      <c r="BZ69" s="48">
        <v>4</v>
      </c>
      <c r="CA69" s="48" t="s">
        <v>3887</v>
      </c>
      <c r="CB69" s="2">
        <v>10</v>
      </c>
    </row>
    <row r="70" spans="3:79" ht="18">
      <c r="C70" s="227">
        <f t="shared" si="16"/>
        <v>0</v>
      </c>
      <c r="M70" s="104"/>
      <c r="O70" s="206" t="s">
        <v>4785</v>
      </c>
      <c r="P70" s="94" t="s">
        <v>2856</v>
      </c>
      <c r="Q70" s="180">
        <v>91131</v>
      </c>
      <c r="R70" s="258">
        <v>800</v>
      </c>
      <c r="S70" s="259">
        <v>42</v>
      </c>
      <c r="T70" s="213" t="s">
        <v>4994</v>
      </c>
      <c r="U70" s="213">
        <v>4</v>
      </c>
      <c r="V70" s="213" t="s">
        <v>3439</v>
      </c>
      <c r="W70" s="213" t="s">
        <v>3361</v>
      </c>
      <c r="X70" s="213" t="s">
        <v>3441</v>
      </c>
      <c r="Y70" s="213" t="s">
        <v>4995</v>
      </c>
      <c r="Z70" s="213" t="s">
        <v>5026</v>
      </c>
      <c r="AA70" s="213">
        <v>36</v>
      </c>
      <c r="AB70" s="213">
        <v>42</v>
      </c>
      <c r="AC70" s="207" t="s">
        <v>4530</v>
      </c>
      <c r="AD70"/>
      <c r="AE70" s="206"/>
      <c r="AF70" s="94"/>
      <c r="AG70" s="94"/>
      <c r="AH70" s="94"/>
      <c r="AI70" s="94"/>
      <c r="AJ70" s="94"/>
      <c r="AK70" s="94"/>
      <c r="AL70" s="94"/>
      <c r="AM70" s="254"/>
      <c r="AN70" s="254"/>
      <c r="AO70" s="94"/>
      <c r="AP70" s="94"/>
      <c r="AQ70" s="94"/>
      <c r="AR70" s="94"/>
      <c r="AS70" s="207"/>
      <c r="AV70" s="27"/>
      <c r="AW70" s="27"/>
      <c r="AX70" s="29"/>
      <c r="AY70" s="31"/>
      <c r="BF70" s="219" t="s">
        <v>3182</v>
      </c>
      <c r="BG70" s="18" t="s">
        <v>513</v>
      </c>
      <c r="BH70" s="105">
        <v>2733</v>
      </c>
      <c r="BI70" s="19" t="s">
        <v>501</v>
      </c>
      <c r="BJ70" s="19" t="s">
        <v>2265</v>
      </c>
      <c r="BK70" s="19" t="s">
        <v>1511</v>
      </c>
      <c r="BL70" s="220"/>
      <c r="BM70" s="19"/>
      <c r="BN70" s="19"/>
      <c r="BO70" s="12"/>
      <c r="BP70" s="11"/>
      <c r="BQ70" s="11"/>
      <c r="BR70" s="11"/>
      <c r="BS70" s="11"/>
      <c r="BT70" s="11"/>
      <c r="BU70" s="11"/>
      <c r="BV70" s="47"/>
      <c r="BW70" s="47"/>
      <c r="BX70" s="47"/>
      <c r="BY70" s="47"/>
      <c r="BZ70" s="47"/>
      <c r="CA70" s="47"/>
    </row>
    <row r="71" spans="3:80" ht="18">
      <c r="C71" s="227">
        <f t="shared" si="16"/>
        <v>0</v>
      </c>
      <c r="M71" s="104"/>
      <c r="O71" s="206" t="s">
        <v>4788</v>
      </c>
      <c r="P71" s="94" t="s">
        <v>3586</v>
      </c>
      <c r="Q71" s="180">
        <v>103978</v>
      </c>
      <c r="R71" s="258">
        <v>800</v>
      </c>
      <c r="S71" s="259">
        <v>42</v>
      </c>
      <c r="T71" s="213" t="s">
        <v>4994</v>
      </c>
      <c r="U71" s="213">
        <v>4</v>
      </c>
      <c r="V71" s="213" t="s">
        <v>3439</v>
      </c>
      <c r="W71" s="213" t="s">
        <v>3361</v>
      </c>
      <c r="X71" s="213" t="s">
        <v>3441</v>
      </c>
      <c r="Y71" s="213" t="s">
        <v>4999</v>
      </c>
      <c r="Z71" s="213" t="s">
        <v>5026</v>
      </c>
      <c r="AA71" s="213">
        <v>36</v>
      </c>
      <c r="AB71" s="213">
        <v>42</v>
      </c>
      <c r="AC71" s="207" t="s">
        <v>4530</v>
      </c>
      <c r="AD71"/>
      <c r="AE71" s="206"/>
      <c r="AF71" s="94"/>
      <c r="AG71" s="94"/>
      <c r="AH71" s="94"/>
      <c r="AI71" s="94"/>
      <c r="AJ71" s="94"/>
      <c r="AK71" s="94"/>
      <c r="AL71" s="94"/>
      <c r="AM71" s="254"/>
      <c r="AN71" s="254"/>
      <c r="AO71" s="94"/>
      <c r="AP71" s="94"/>
      <c r="AQ71" s="94"/>
      <c r="AR71" s="94"/>
      <c r="AS71" s="207"/>
      <c r="AV71" s="27"/>
      <c r="AW71" s="27"/>
      <c r="AX71" s="29"/>
      <c r="AY71" s="31"/>
      <c r="BF71" s="219" t="s">
        <v>3183</v>
      </c>
      <c r="BG71" s="18" t="s">
        <v>514</v>
      </c>
      <c r="BH71" s="105">
        <v>2733</v>
      </c>
      <c r="BI71" s="19" t="s">
        <v>503</v>
      </c>
      <c r="BJ71" s="19" t="s">
        <v>2266</v>
      </c>
      <c r="BK71" s="19" t="s">
        <v>1512</v>
      </c>
      <c r="BL71" s="220"/>
      <c r="BM71" s="19"/>
      <c r="BN71" s="19"/>
      <c r="BO71" s="12"/>
      <c r="BP71" s="11"/>
      <c r="BQ71" s="11"/>
      <c r="BR71" s="11"/>
      <c r="BS71" s="11"/>
      <c r="BT71" s="11"/>
      <c r="BU71" s="11"/>
      <c r="BV71" s="274" t="s">
        <v>5017</v>
      </c>
      <c r="BW71" s="274" t="s">
        <v>5020</v>
      </c>
      <c r="BX71" s="274" t="s">
        <v>5019</v>
      </c>
      <c r="BY71" s="274" t="s">
        <v>3449</v>
      </c>
      <c r="BZ71" s="326" t="s">
        <v>2626</v>
      </c>
      <c r="CA71" s="276" t="s">
        <v>3885</v>
      </c>
      <c r="CB71" s="46" t="s">
        <v>3888</v>
      </c>
    </row>
    <row r="72" spans="13:80" ht="18">
      <c r="M72" s="104"/>
      <c r="O72" s="206" t="s">
        <v>4791</v>
      </c>
      <c r="P72" s="94" t="s">
        <v>3589</v>
      </c>
      <c r="Q72" s="180">
        <v>96761</v>
      </c>
      <c r="R72" s="258">
        <v>800</v>
      </c>
      <c r="S72" s="259">
        <v>42</v>
      </c>
      <c r="T72" s="213" t="s">
        <v>4994</v>
      </c>
      <c r="U72" s="213">
        <v>4</v>
      </c>
      <c r="V72" s="213" t="s">
        <v>3439</v>
      </c>
      <c r="W72" s="213" t="s">
        <v>3361</v>
      </c>
      <c r="X72" s="213" t="s">
        <v>3441</v>
      </c>
      <c r="Y72" s="213" t="s">
        <v>4996</v>
      </c>
      <c r="Z72" s="213" t="s">
        <v>5026</v>
      </c>
      <c r="AA72" s="213">
        <v>36</v>
      </c>
      <c r="AB72" s="213">
        <v>42</v>
      </c>
      <c r="AC72" s="207" t="s">
        <v>4530</v>
      </c>
      <c r="AD72"/>
      <c r="AE72" s="206"/>
      <c r="AF72" s="94"/>
      <c r="AG72" s="94"/>
      <c r="AH72" s="94"/>
      <c r="AI72" s="94"/>
      <c r="AJ72" s="94"/>
      <c r="AK72" s="94"/>
      <c r="AL72" s="94"/>
      <c r="AM72" s="254"/>
      <c r="AN72" s="254"/>
      <c r="AO72" s="94"/>
      <c r="AP72" s="94"/>
      <c r="AQ72" s="94"/>
      <c r="AR72" s="94"/>
      <c r="AS72" s="207"/>
      <c r="AV72" s="27"/>
      <c r="AW72" s="27"/>
      <c r="AX72" s="29"/>
      <c r="AY72" s="31"/>
      <c r="BF72" s="219" t="s">
        <v>3184</v>
      </c>
      <c r="BG72" s="18" t="s">
        <v>515</v>
      </c>
      <c r="BH72" s="105">
        <v>2733</v>
      </c>
      <c r="BI72" s="19" t="s">
        <v>505</v>
      </c>
      <c r="BJ72" s="19" t="s">
        <v>2268</v>
      </c>
      <c r="BK72" s="19" t="s">
        <v>1513</v>
      </c>
      <c r="BL72" s="220"/>
      <c r="BM72" s="19"/>
      <c r="BN72" s="19"/>
      <c r="BO72" s="12"/>
      <c r="BP72" s="11"/>
      <c r="BQ72" s="11"/>
      <c r="BR72" s="11"/>
      <c r="BS72" s="11"/>
      <c r="BT72" s="11"/>
      <c r="BU72" s="11"/>
      <c r="BV72" s="138" t="s">
        <v>3211</v>
      </c>
      <c r="BW72" s="138" t="s">
        <v>551</v>
      </c>
      <c r="BX72" s="138">
        <v>1</v>
      </c>
      <c r="BY72" s="138" t="s">
        <v>4994</v>
      </c>
      <c r="BZ72" s="275">
        <v>3</v>
      </c>
      <c r="CA72" s="275" t="s">
        <v>3886</v>
      </c>
      <c r="CB72" s="2">
        <v>5</v>
      </c>
    </row>
    <row r="73" spans="13:79" ht="18">
      <c r="M73" s="104"/>
      <c r="O73" s="206" t="s">
        <v>4794</v>
      </c>
      <c r="P73" s="94" t="s">
        <v>3592</v>
      </c>
      <c r="Q73" s="180">
        <v>128188</v>
      </c>
      <c r="R73" s="258">
        <v>800</v>
      </c>
      <c r="S73" s="259">
        <v>42</v>
      </c>
      <c r="T73" s="213" t="s">
        <v>4994</v>
      </c>
      <c r="U73" s="213">
        <v>4</v>
      </c>
      <c r="V73" s="213" t="s">
        <v>3439</v>
      </c>
      <c r="W73" s="213" t="s">
        <v>3361</v>
      </c>
      <c r="X73" s="213" t="s">
        <v>3445</v>
      </c>
      <c r="Y73" s="213" t="s">
        <v>4999</v>
      </c>
      <c r="Z73" s="213" t="s">
        <v>5026</v>
      </c>
      <c r="AA73" s="213">
        <v>36</v>
      </c>
      <c r="AB73" s="213">
        <v>42</v>
      </c>
      <c r="AC73" s="207" t="s">
        <v>4530</v>
      </c>
      <c r="AD73"/>
      <c r="AE73" s="206"/>
      <c r="AF73" s="94"/>
      <c r="AG73" s="94"/>
      <c r="AH73" s="94"/>
      <c r="AI73" s="94"/>
      <c r="AJ73" s="94"/>
      <c r="AK73" s="94"/>
      <c r="AL73" s="94"/>
      <c r="AM73" s="254"/>
      <c r="AN73" s="254"/>
      <c r="AO73" s="94"/>
      <c r="AP73" s="94"/>
      <c r="AQ73" s="94"/>
      <c r="AR73" s="94"/>
      <c r="AS73" s="207"/>
      <c r="BF73" s="219" t="s">
        <v>3185</v>
      </c>
      <c r="BG73" s="18" t="s">
        <v>3743</v>
      </c>
      <c r="BH73" s="105">
        <v>4998</v>
      </c>
      <c r="BI73" s="19" t="s">
        <v>3735</v>
      </c>
      <c r="BJ73" s="19" t="s">
        <v>2269</v>
      </c>
      <c r="BK73" s="19" t="s">
        <v>1514</v>
      </c>
      <c r="BL73" s="220"/>
      <c r="BM73" s="19"/>
      <c r="BN73" s="19"/>
      <c r="BO73" s="12"/>
      <c r="BP73" s="11"/>
      <c r="BQ73" s="11"/>
      <c r="BR73" s="11"/>
      <c r="BS73" s="11"/>
      <c r="BT73" s="11"/>
      <c r="BU73" s="11"/>
      <c r="BV73" s="15"/>
      <c r="BW73" s="15"/>
      <c r="BX73" s="15"/>
      <c r="BY73" s="15"/>
      <c r="BZ73" s="69"/>
      <c r="CA73" s="229"/>
    </row>
    <row r="74" spans="13:79" ht="18">
      <c r="M74" s="104"/>
      <c r="O74" s="206" t="s">
        <v>4797</v>
      </c>
      <c r="P74" s="94" t="s">
        <v>3595</v>
      </c>
      <c r="Q74" s="180">
        <v>120970</v>
      </c>
      <c r="R74" s="258">
        <v>800</v>
      </c>
      <c r="S74" s="259">
        <v>42</v>
      </c>
      <c r="T74" s="213" t="s">
        <v>4994</v>
      </c>
      <c r="U74" s="213">
        <v>4</v>
      </c>
      <c r="V74" s="213" t="s">
        <v>3439</v>
      </c>
      <c r="W74" s="213" t="s">
        <v>3361</v>
      </c>
      <c r="X74" s="213" t="s">
        <v>3445</v>
      </c>
      <c r="Y74" s="213" t="s">
        <v>4996</v>
      </c>
      <c r="Z74" s="213" t="s">
        <v>5026</v>
      </c>
      <c r="AA74" s="213">
        <v>36</v>
      </c>
      <c r="AB74" s="213">
        <v>42</v>
      </c>
      <c r="AC74" s="207" t="s">
        <v>4530</v>
      </c>
      <c r="AD74"/>
      <c r="AE74" s="206"/>
      <c r="AF74" s="94"/>
      <c r="AG74" s="94"/>
      <c r="AH74" s="94"/>
      <c r="AI74" s="94"/>
      <c r="AJ74" s="94"/>
      <c r="AK74" s="94"/>
      <c r="AL74" s="94"/>
      <c r="AM74" s="254"/>
      <c r="AN74" s="254"/>
      <c r="AO74" s="94"/>
      <c r="AP74" s="94"/>
      <c r="AQ74" s="94"/>
      <c r="AR74" s="94"/>
      <c r="AS74" s="207"/>
      <c r="BF74" s="219" t="s">
        <v>3186</v>
      </c>
      <c r="BG74" s="18" t="s">
        <v>3744</v>
      </c>
      <c r="BH74" s="105">
        <v>4998</v>
      </c>
      <c r="BI74" s="19" t="s">
        <v>483</v>
      </c>
      <c r="BJ74" s="19" t="s">
        <v>483</v>
      </c>
      <c r="BK74" s="19" t="s">
        <v>1515</v>
      </c>
      <c r="BL74" s="220"/>
      <c r="BM74" s="19"/>
      <c r="BN74" s="19"/>
      <c r="BO74" s="12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</row>
    <row r="75" spans="13:79" ht="18">
      <c r="M75" s="104"/>
      <c r="O75" s="206" t="s">
        <v>4800</v>
      </c>
      <c r="P75" s="94" t="s">
        <v>3598</v>
      </c>
      <c r="Q75" s="180">
        <v>102605</v>
      </c>
      <c r="R75" s="258">
        <v>1250</v>
      </c>
      <c r="S75" s="259">
        <v>42</v>
      </c>
      <c r="T75" s="213" t="s">
        <v>4994</v>
      </c>
      <c r="U75" s="213">
        <v>4</v>
      </c>
      <c r="V75" s="213" t="s">
        <v>3439</v>
      </c>
      <c r="W75" s="213" t="s">
        <v>3361</v>
      </c>
      <c r="X75" s="213" t="s">
        <v>3441</v>
      </c>
      <c r="Y75" s="213" t="s">
        <v>4995</v>
      </c>
      <c r="Z75" s="213" t="s">
        <v>5026</v>
      </c>
      <c r="AA75" s="213">
        <v>36</v>
      </c>
      <c r="AB75" s="213">
        <v>42</v>
      </c>
      <c r="AC75" s="207" t="s">
        <v>4530</v>
      </c>
      <c r="AD75"/>
      <c r="AE75" s="206"/>
      <c r="AF75" s="94"/>
      <c r="AG75" s="94"/>
      <c r="AH75" s="94"/>
      <c r="AI75" s="94"/>
      <c r="AJ75" s="94"/>
      <c r="AK75" s="94"/>
      <c r="AL75" s="94"/>
      <c r="AM75" s="254"/>
      <c r="AN75" s="254"/>
      <c r="AO75" s="94"/>
      <c r="AP75" s="94"/>
      <c r="AQ75" s="94"/>
      <c r="AR75" s="94"/>
      <c r="AS75" s="207"/>
      <c r="BF75" s="219" t="s">
        <v>3187</v>
      </c>
      <c r="BG75" s="18" t="s">
        <v>3745</v>
      </c>
      <c r="BH75" s="105">
        <v>3905</v>
      </c>
      <c r="BI75" s="19" t="s">
        <v>3734</v>
      </c>
      <c r="BJ75" s="19">
        <v>24</v>
      </c>
      <c r="BK75" s="19" t="s">
        <v>1526</v>
      </c>
      <c r="BL75" s="220"/>
      <c r="BM75" s="19"/>
      <c r="BN75" s="19"/>
      <c r="BO75" s="12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</row>
    <row r="76" spans="13:79" ht="18">
      <c r="M76" s="104"/>
      <c r="O76" s="206" t="s">
        <v>4803</v>
      </c>
      <c r="P76" s="94" t="s">
        <v>3601</v>
      </c>
      <c r="Q76" s="180">
        <v>115453</v>
      </c>
      <c r="R76" s="258">
        <v>1250</v>
      </c>
      <c r="S76" s="259">
        <v>42</v>
      </c>
      <c r="T76" s="213" t="s">
        <v>4994</v>
      </c>
      <c r="U76" s="213">
        <v>4</v>
      </c>
      <c r="V76" s="213" t="s">
        <v>3439</v>
      </c>
      <c r="W76" s="213" t="s">
        <v>3361</v>
      </c>
      <c r="X76" s="213" t="s">
        <v>3441</v>
      </c>
      <c r="Y76" s="213" t="s">
        <v>4999</v>
      </c>
      <c r="Z76" s="213" t="s">
        <v>5026</v>
      </c>
      <c r="AA76" s="213">
        <v>36</v>
      </c>
      <c r="AB76" s="213">
        <v>42</v>
      </c>
      <c r="AC76" s="207" t="s">
        <v>4530</v>
      </c>
      <c r="AD76"/>
      <c r="AE76" s="206"/>
      <c r="AF76" s="94"/>
      <c r="AG76" s="94"/>
      <c r="AH76" s="94"/>
      <c r="AI76" s="94"/>
      <c r="AJ76" s="94"/>
      <c r="AK76" s="94"/>
      <c r="AL76" s="94"/>
      <c r="AM76" s="254"/>
      <c r="AN76" s="254"/>
      <c r="AO76" s="94"/>
      <c r="AP76" s="94"/>
      <c r="AQ76" s="94"/>
      <c r="AR76" s="94"/>
      <c r="AS76" s="207"/>
      <c r="BF76" s="219" t="s">
        <v>3188</v>
      </c>
      <c r="BG76" s="18" t="s">
        <v>519</v>
      </c>
      <c r="BH76" s="105">
        <v>3905</v>
      </c>
      <c r="BI76" s="19" t="s">
        <v>494</v>
      </c>
      <c r="BJ76" s="19">
        <v>30</v>
      </c>
      <c r="BK76" s="19" t="s">
        <v>1517</v>
      </c>
      <c r="BL76" s="220"/>
      <c r="BM76" s="19"/>
      <c r="BN76" s="19"/>
      <c r="BO76" s="12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</row>
    <row r="77" spans="13:79" ht="18">
      <c r="M77" s="104"/>
      <c r="O77" s="206" t="s">
        <v>4806</v>
      </c>
      <c r="P77" s="94" t="s">
        <v>3604</v>
      </c>
      <c r="Q77" s="180">
        <v>108236</v>
      </c>
      <c r="R77" s="258">
        <v>1250</v>
      </c>
      <c r="S77" s="259">
        <v>42</v>
      </c>
      <c r="T77" s="213" t="s">
        <v>4994</v>
      </c>
      <c r="U77" s="213">
        <v>4</v>
      </c>
      <c r="V77" s="213" t="s">
        <v>3439</v>
      </c>
      <c r="W77" s="213" t="s">
        <v>3361</v>
      </c>
      <c r="X77" s="213" t="s">
        <v>3441</v>
      </c>
      <c r="Y77" s="213" t="s">
        <v>4996</v>
      </c>
      <c r="Z77" s="213" t="s">
        <v>5026</v>
      </c>
      <c r="AA77" s="213">
        <v>36</v>
      </c>
      <c r="AB77" s="213">
        <v>42</v>
      </c>
      <c r="AC77" s="207" t="s">
        <v>4530</v>
      </c>
      <c r="AD77"/>
      <c r="AE77" s="206"/>
      <c r="AF77" s="94"/>
      <c r="AG77" s="94"/>
      <c r="AH77" s="94"/>
      <c r="AI77" s="94"/>
      <c r="AJ77" s="94"/>
      <c r="AK77" s="94"/>
      <c r="AL77" s="94"/>
      <c r="AM77" s="254"/>
      <c r="AN77" s="254"/>
      <c r="AO77" s="94"/>
      <c r="AP77" s="94"/>
      <c r="AQ77" s="94"/>
      <c r="AR77" s="94"/>
      <c r="AS77" s="207"/>
      <c r="BF77" s="219" t="s">
        <v>3189</v>
      </c>
      <c r="BG77" s="18" t="s">
        <v>520</v>
      </c>
      <c r="BH77" s="105">
        <v>3905</v>
      </c>
      <c r="BI77" s="19" t="s">
        <v>496</v>
      </c>
      <c r="BJ77" s="19">
        <v>48</v>
      </c>
      <c r="BK77" s="19" t="s">
        <v>1518</v>
      </c>
      <c r="BL77" s="220"/>
      <c r="BM77" s="19"/>
      <c r="BN77" s="19"/>
      <c r="BO77" s="12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</row>
    <row r="78" spans="13:79" ht="18">
      <c r="M78" s="104"/>
      <c r="O78" s="206" t="s">
        <v>4809</v>
      </c>
      <c r="P78" s="94" t="s">
        <v>3607</v>
      </c>
      <c r="Q78" s="180">
        <v>139663</v>
      </c>
      <c r="R78" s="258">
        <v>1250</v>
      </c>
      <c r="S78" s="259">
        <v>42</v>
      </c>
      <c r="T78" s="213" t="s">
        <v>4994</v>
      </c>
      <c r="U78" s="213">
        <v>4</v>
      </c>
      <c r="V78" s="213" t="s">
        <v>3439</v>
      </c>
      <c r="W78" s="213" t="s">
        <v>3361</v>
      </c>
      <c r="X78" s="213" t="s">
        <v>3445</v>
      </c>
      <c r="Y78" s="213" t="s">
        <v>4999</v>
      </c>
      <c r="Z78" s="213" t="s">
        <v>5026</v>
      </c>
      <c r="AA78" s="213">
        <v>36</v>
      </c>
      <c r="AB78" s="213">
        <v>42</v>
      </c>
      <c r="AC78" s="207" t="s">
        <v>4530</v>
      </c>
      <c r="AD78"/>
      <c r="AE78" s="206"/>
      <c r="AF78" s="94"/>
      <c r="AG78" s="94"/>
      <c r="AH78" s="94"/>
      <c r="AI78" s="94"/>
      <c r="AJ78" s="94"/>
      <c r="AK78" s="94"/>
      <c r="AL78" s="94"/>
      <c r="AM78" s="254"/>
      <c r="AN78" s="254"/>
      <c r="AO78" s="94"/>
      <c r="AP78" s="94"/>
      <c r="AQ78" s="94"/>
      <c r="AR78" s="94"/>
      <c r="AS78" s="207"/>
      <c r="BF78" s="219" t="s">
        <v>3190</v>
      </c>
      <c r="BG78" s="18" t="s">
        <v>521</v>
      </c>
      <c r="BH78" s="105">
        <v>3905</v>
      </c>
      <c r="BI78" s="19" t="s">
        <v>498</v>
      </c>
      <c r="BJ78" s="19">
        <v>60</v>
      </c>
      <c r="BK78" s="19" t="s">
        <v>1519</v>
      </c>
      <c r="BL78" s="220"/>
      <c r="BM78" s="19"/>
      <c r="BN78" s="19"/>
      <c r="BO78" s="12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</row>
    <row r="79" spans="13:79" ht="18">
      <c r="M79" s="104"/>
      <c r="O79" s="206" t="s">
        <v>4812</v>
      </c>
      <c r="P79" s="94" t="s">
        <v>4642</v>
      </c>
      <c r="Q79" s="180">
        <v>132444</v>
      </c>
      <c r="R79" s="258">
        <v>1250</v>
      </c>
      <c r="S79" s="259">
        <v>42</v>
      </c>
      <c r="T79" s="213" t="s">
        <v>4994</v>
      </c>
      <c r="U79" s="213">
        <v>4</v>
      </c>
      <c r="V79" s="213" t="s">
        <v>3439</v>
      </c>
      <c r="W79" s="213" t="s">
        <v>3361</v>
      </c>
      <c r="X79" s="213" t="s">
        <v>3445</v>
      </c>
      <c r="Y79" s="213" t="s">
        <v>4996</v>
      </c>
      <c r="Z79" s="213" t="s">
        <v>5026</v>
      </c>
      <c r="AA79" s="213">
        <v>36</v>
      </c>
      <c r="AB79" s="213">
        <v>42</v>
      </c>
      <c r="AC79" s="207" t="s">
        <v>4530</v>
      </c>
      <c r="AD79"/>
      <c r="AE79" s="206"/>
      <c r="AF79" s="94"/>
      <c r="AG79" s="94"/>
      <c r="AH79" s="94"/>
      <c r="AI79" s="94"/>
      <c r="AJ79" s="94"/>
      <c r="AK79" s="94"/>
      <c r="AL79" s="94"/>
      <c r="AM79" s="254"/>
      <c r="AN79" s="254"/>
      <c r="AO79" s="94"/>
      <c r="AP79" s="94"/>
      <c r="AQ79" s="94"/>
      <c r="AR79" s="94"/>
      <c r="AS79" s="207"/>
      <c r="BF79" s="219" t="s">
        <v>3191</v>
      </c>
      <c r="BG79" s="18" t="s">
        <v>3746</v>
      </c>
      <c r="BH79" s="105">
        <v>3905</v>
      </c>
      <c r="BI79" s="19" t="s">
        <v>3736</v>
      </c>
      <c r="BJ79" s="19" t="s">
        <v>3729</v>
      </c>
      <c r="BK79" s="19" t="s">
        <v>1520</v>
      </c>
      <c r="BL79" s="220"/>
      <c r="BM79" s="19"/>
      <c r="BN79" s="19"/>
      <c r="BO79" s="12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</row>
    <row r="80" spans="13:79" ht="18">
      <c r="M80" s="104"/>
      <c r="O80" s="206" t="s">
        <v>4814</v>
      </c>
      <c r="P80" s="94" t="s">
        <v>3623</v>
      </c>
      <c r="Q80" s="180">
        <v>111102</v>
      </c>
      <c r="R80" s="258">
        <v>800</v>
      </c>
      <c r="S80" s="259">
        <v>42</v>
      </c>
      <c r="T80" s="213" t="s">
        <v>4994</v>
      </c>
      <c r="U80" s="213">
        <v>4</v>
      </c>
      <c r="V80" s="213" t="s">
        <v>3443</v>
      </c>
      <c r="W80" s="213" t="s">
        <v>3572</v>
      </c>
      <c r="X80" s="213" t="s">
        <v>3441</v>
      </c>
      <c r="Y80" s="213" t="s">
        <v>4995</v>
      </c>
      <c r="Z80" s="213" t="s">
        <v>5026</v>
      </c>
      <c r="AA80" s="213">
        <v>36</v>
      </c>
      <c r="AB80" s="213">
        <v>42</v>
      </c>
      <c r="AC80" s="207" t="s">
        <v>4530</v>
      </c>
      <c r="AD80"/>
      <c r="AE80" s="206"/>
      <c r="AF80" s="94"/>
      <c r="AG80" s="94"/>
      <c r="AH80" s="94"/>
      <c r="AI80" s="94"/>
      <c r="AJ80" s="94"/>
      <c r="AK80" s="94"/>
      <c r="AL80" s="94"/>
      <c r="AM80" s="254"/>
      <c r="AN80" s="254"/>
      <c r="AO80" s="94"/>
      <c r="AP80" s="94"/>
      <c r="AQ80" s="94"/>
      <c r="AR80" s="94"/>
      <c r="AS80" s="207"/>
      <c r="BF80" s="219" t="s">
        <v>3192</v>
      </c>
      <c r="BG80" s="18" t="s">
        <v>523</v>
      </c>
      <c r="BH80" s="105">
        <v>3905</v>
      </c>
      <c r="BI80" s="19" t="s">
        <v>501</v>
      </c>
      <c r="BJ80" s="19" t="s">
        <v>2265</v>
      </c>
      <c r="BK80" s="19" t="s">
        <v>1521</v>
      </c>
      <c r="BL80" s="220"/>
      <c r="BM80" s="19"/>
      <c r="BN80" s="19"/>
      <c r="BO80" s="12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</row>
    <row r="81" spans="13:79" ht="18">
      <c r="M81" s="104"/>
      <c r="O81" s="206" t="s">
        <v>4815</v>
      </c>
      <c r="P81" s="94" t="s">
        <v>3624</v>
      </c>
      <c r="Q81" s="180">
        <v>123950</v>
      </c>
      <c r="R81" s="258">
        <v>800</v>
      </c>
      <c r="S81" s="259">
        <v>42</v>
      </c>
      <c r="T81" s="213" t="s">
        <v>4994</v>
      </c>
      <c r="U81" s="213">
        <v>4</v>
      </c>
      <c r="V81" s="213" t="s">
        <v>3443</v>
      </c>
      <c r="W81" s="213" t="s">
        <v>3572</v>
      </c>
      <c r="X81" s="213" t="s">
        <v>3441</v>
      </c>
      <c r="Y81" s="213" t="s">
        <v>4999</v>
      </c>
      <c r="Z81" s="213" t="s">
        <v>5026</v>
      </c>
      <c r="AA81" s="213">
        <v>36</v>
      </c>
      <c r="AB81" s="213">
        <v>42</v>
      </c>
      <c r="AC81" s="207" t="s">
        <v>4530</v>
      </c>
      <c r="AD81"/>
      <c r="AE81" s="206"/>
      <c r="AF81" s="94"/>
      <c r="AG81" s="94"/>
      <c r="AH81" s="94"/>
      <c r="AI81" s="94"/>
      <c r="AJ81" s="94"/>
      <c r="AK81" s="94"/>
      <c r="AL81" s="94"/>
      <c r="AM81" s="254"/>
      <c r="AN81" s="254"/>
      <c r="AO81" s="94"/>
      <c r="AP81" s="94"/>
      <c r="AQ81" s="94"/>
      <c r="AR81" s="94"/>
      <c r="AS81" s="207"/>
      <c r="BF81" s="219" t="s">
        <v>3193</v>
      </c>
      <c r="BG81" s="18" t="s">
        <v>524</v>
      </c>
      <c r="BH81" s="105">
        <v>3905</v>
      </c>
      <c r="BI81" s="19" t="s">
        <v>503</v>
      </c>
      <c r="BJ81" s="19" t="s">
        <v>2266</v>
      </c>
      <c r="BK81" s="19" t="s">
        <v>1522</v>
      </c>
      <c r="BL81" s="220"/>
      <c r="BM81" s="19"/>
      <c r="BN81" s="19"/>
      <c r="BO81" s="12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</row>
    <row r="82" spans="13:79" ht="18">
      <c r="M82" s="104"/>
      <c r="O82" s="206" t="s">
        <v>4816</v>
      </c>
      <c r="P82" s="94" t="s">
        <v>3625</v>
      </c>
      <c r="Q82" s="180">
        <v>116731</v>
      </c>
      <c r="R82" s="258">
        <v>800</v>
      </c>
      <c r="S82" s="259">
        <v>42</v>
      </c>
      <c r="T82" s="213" t="s">
        <v>4994</v>
      </c>
      <c r="U82" s="213">
        <v>4</v>
      </c>
      <c r="V82" s="213" t="s">
        <v>3443</v>
      </c>
      <c r="W82" s="213" t="s">
        <v>3572</v>
      </c>
      <c r="X82" s="213" t="s">
        <v>3441</v>
      </c>
      <c r="Y82" s="213" t="s">
        <v>4996</v>
      </c>
      <c r="Z82" s="213" t="s">
        <v>5026</v>
      </c>
      <c r="AA82" s="213">
        <v>36</v>
      </c>
      <c r="AB82" s="213">
        <v>42</v>
      </c>
      <c r="AC82" s="207" t="s">
        <v>4530</v>
      </c>
      <c r="AD82"/>
      <c r="AE82" s="206"/>
      <c r="AF82" s="94"/>
      <c r="AG82" s="94"/>
      <c r="AH82" s="94"/>
      <c r="AI82" s="94"/>
      <c r="AJ82" s="94"/>
      <c r="AK82" s="94"/>
      <c r="AL82" s="94"/>
      <c r="AM82" s="254"/>
      <c r="AN82" s="254"/>
      <c r="AO82" s="94"/>
      <c r="AP82" s="94"/>
      <c r="AQ82" s="94"/>
      <c r="AR82" s="94"/>
      <c r="AS82" s="207"/>
      <c r="BF82" s="219" t="s">
        <v>3194</v>
      </c>
      <c r="BG82" s="18" t="s">
        <v>525</v>
      </c>
      <c r="BH82" s="105">
        <v>3905</v>
      </c>
      <c r="BI82" s="19" t="s">
        <v>505</v>
      </c>
      <c r="BJ82" s="19" t="s">
        <v>2268</v>
      </c>
      <c r="BK82" s="19" t="s">
        <v>1523</v>
      </c>
      <c r="BL82" s="220"/>
      <c r="BM82" s="19"/>
      <c r="BN82" s="19"/>
      <c r="BO82" s="12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</row>
    <row r="83" spans="13:79" ht="18">
      <c r="M83" s="104"/>
      <c r="O83" s="206" t="s">
        <v>4817</v>
      </c>
      <c r="P83" s="94" t="s">
        <v>3626</v>
      </c>
      <c r="Q83" s="180">
        <v>148158</v>
      </c>
      <c r="R83" s="258">
        <v>800</v>
      </c>
      <c r="S83" s="259">
        <v>42</v>
      </c>
      <c r="T83" s="213" t="s">
        <v>4994</v>
      </c>
      <c r="U83" s="213">
        <v>4</v>
      </c>
      <c r="V83" s="213" t="s">
        <v>3443</v>
      </c>
      <c r="W83" s="213" t="s">
        <v>3572</v>
      </c>
      <c r="X83" s="213" t="s">
        <v>3445</v>
      </c>
      <c r="Y83" s="213" t="s">
        <v>4999</v>
      </c>
      <c r="Z83" s="213" t="s">
        <v>5026</v>
      </c>
      <c r="AA83" s="213">
        <v>36</v>
      </c>
      <c r="AB83" s="213">
        <v>42</v>
      </c>
      <c r="AC83" s="207" t="s">
        <v>4530</v>
      </c>
      <c r="AD83"/>
      <c r="AE83" s="206"/>
      <c r="AF83" s="94"/>
      <c r="AG83" s="94"/>
      <c r="AH83" s="94"/>
      <c r="AI83" s="94"/>
      <c r="AJ83" s="94"/>
      <c r="AK83" s="94"/>
      <c r="AL83" s="94"/>
      <c r="AM83" s="254"/>
      <c r="AN83" s="254"/>
      <c r="AO83" s="94"/>
      <c r="AP83" s="94"/>
      <c r="AQ83" s="94"/>
      <c r="AR83" s="94"/>
      <c r="AS83" s="207"/>
      <c r="BF83" s="219" t="s">
        <v>3195</v>
      </c>
      <c r="BG83" s="18" t="s">
        <v>3747</v>
      </c>
      <c r="BH83" s="105">
        <v>6248</v>
      </c>
      <c r="BI83" s="19" t="s">
        <v>3735</v>
      </c>
      <c r="BJ83" s="19" t="s">
        <v>2269</v>
      </c>
      <c r="BK83" s="19" t="s">
        <v>1524</v>
      </c>
      <c r="BL83" s="220"/>
      <c r="BM83" s="19"/>
      <c r="BN83" s="19"/>
      <c r="BO83" s="12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</row>
    <row r="84" spans="13:79" ht="18">
      <c r="M84" s="104"/>
      <c r="O84" s="206" t="s">
        <v>4818</v>
      </c>
      <c r="P84" s="94" t="s">
        <v>3627</v>
      </c>
      <c r="Q84" s="180">
        <v>140940</v>
      </c>
      <c r="R84" s="258">
        <v>800</v>
      </c>
      <c r="S84" s="259">
        <v>42</v>
      </c>
      <c r="T84" s="213" t="s">
        <v>4994</v>
      </c>
      <c r="U84" s="213">
        <v>4</v>
      </c>
      <c r="V84" s="213" t="s">
        <v>3443</v>
      </c>
      <c r="W84" s="213" t="s">
        <v>3572</v>
      </c>
      <c r="X84" s="213" t="s">
        <v>3445</v>
      </c>
      <c r="Y84" s="213" t="s">
        <v>4996</v>
      </c>
      <c r="Z84" s="213" t="s">
        <v>5026</v>
      </c>
      <c r="AA84" s="213">
        <v>36</v>
      </c>
      <c r="AB84" s="213">
        <v>42</v>
      </c>
      <c r="AC84" s="207" t="s">
        <v>4530</v>
      </c>
      <c r="AD84"/>
      <c r="AE84" s="206"/>
      <c r="AF84" s="94"/>
      <c r="AG84" s="94"/>
      <c r="AH84" s="94"/>
      <c r="AI84" s="94"/>
      <c r="AJ84" s="94"/>
      <c r="AK84" s="94"/>
      <c r="AL84" s="94"/>
      <c r="AM84" s="254"/>
      <c r="AN84" s="254"/>
      <c r="AO84" s="94"/>
      <c r="AP84" s="94"/>
      <c r="AQ84" s="94"/>
      <c r="AR84" s="94"/>
      <c r="AS84" s="207"/>
      <c r="BF84" s="219" t="s">
        <v>3196</v>
      </c>
      <c r="BG84" s="18" t="s">
        <v>3748</v>
      </c>
      <c r="BH84" s="105">
        <v>6248</v>
      </c>
      <c r="BI84" s="19" t="s">
        <v>483</v>
      </c>
      <c r="BJ84" s="19" t="s">
        <v>483</v>
      </c>
      <c r="BK84" s="19" t="s">
        <v>1525</v>
      </c>
      <c r="BL84" s="220"/>
      <c r="BM84" s="19"/>
      <c r="BN84" s="19"/>
      <c r="BO84" s="12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</row>
    <row r="85" spans="13:79" ht="18">
      <c r="M85" s="104"/>
      <c r="O85" s="206" t="s">
        <v>4819</v>
      </c>
      <c r="P85" s="94" t="s">
        <v>3628</v>
      </c>
      <c r="Q85" s="180">
        <v>108468</v>
      </c>
      <c r="R85" s="258">
        <v>1250</v>
      </c>
      <c r="S85" s="259">
        <v>42</v>
      </c>
      <c r="T85" s="213" t="s">
        <v>4994</v>
      </c>
      <c r="U85" s="213">
        <v>4</v>
      </c>
      <c r="V85" s="213" t="s">
        <v>3443</v>
      </c>
      <c r="W85" s="213" t="s">
        <v>3572</v>
      </c>
      <c r="X85" s="213" t="s">
        <v>3441</v>
      </c>
      <c r="Y85" s="213" t="s">
        <v>4995</v>
      </c>
      <c r="Z85" s="213" t="s">
        <v>5026</v>
      </c>
      <c r="AA85" s="213">
        <v>36</v>
      </c>
      <c r="AB85" s="213">
        <v>42</v>
      </c>
      <c r="AC85" s="207" t="s">
        <v>4530</v>
      </c>
      <c r="AD85"/>
      <c r="AE85" s="206"/>
      <c r="AF85" s="94"/>
      <c r="AG85" s="94"/>
      <c r="AH85" s="94"/>
      <c r="AI85" s="94"/>
      <c r="AJ85" s="94"/>
      <c r="AK85" s="94"/>
      <c r="AL85" s="94"/>
      <c r="AM85" s="254"/>
      <c r="AN85" s="254"/>
      <c r="AO85" s="94"/>
      <c r="AP85" s="94"/>
      <c r="AQ85" s="94"/>
      <c r="AR85" s="94"/>
      <c r="AS85" s="207"/>
      <c r="BF85" s="219" t="s">
        <v>3197</v>
      </c>
      <c r="BG85" s="18" t="s">
        <v>528</v>
      </c>
      <c r="BH85" s="105">
        <v>6941</v>
      </c>
      <c r="BI85" s="19" t="s">
        <v>529</v>
      </c>
      <c r="BJ85" s="19" t="s">
        <v>448</v>
      </c>
      <c r="BK85" s="19"/>
      <c r="BL85" s="220"/>
      <c r="BM85" s="19"/>
      <c r="BN85" s="19"/>
      <c r="BO85" s="12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</row>
    <row r="86" spans="13:79" ht="18">
      <c r="M86" s="104"/>
      <c r="O86" s="206" t="s">
        <v>4820</v>
      </c>
      <c r="P86" s="94" t="s">
        <v>3629</v>
      </c>
      <c r="Q86" s="180">
        <v>121316</v>
      </c>
      <c r="R86" s="258">
        <v>1250</v>
      </c>
      <c r="S86" s="259">
        <v>42</v>
      </c>
      <c r="T86" s="213" t="s">
        <v>4994</v>
      </c>
      <c r="U86" s="213">
        <v>4</v>
      </c>
      <c r="V86" s="213" t="s">
        <v>3443</v>
      </c>
      <c r="W86" s="213" t="s">
        <v>3572</v>
      </c>
      <c r="X86" s="213" t="s">
        <v>3441</v>
      </c>
      <c r="Y86" s="213" t="s">
        <v>4999</v>
      </c>
      <c r="Z86" s="213" t="s">
        <v>5026</v>
      </c>
      <c r="AA86" s="213">
        <v>36</v>
      </c>
      <c r="AB86" s="213">
        <v>42</v>
      </c>
      <c r="AC86" s="207" t="s">
        <v>4530</v>
      </c>
      <c r="AD86"/>
      <c r="AE86" s="206"/>
      <c r="AF86" s="94"/>
      <c r="AG86" s="94"/>
      <c r="AH86" s="94"/>
      <c r="AI86" s="94"/>
      <c r="AJ86" s="94"/>
      <c r="AK86" s="94"/>
      <c r="AL86" s="94"/>
      <c r="AM86" s="254"/>
      <c r="AN86" s="254"/>
      <c r="AO86" s="94"/>
      <c r="AP86" s="94"/>
      <c r="AQ86" s="94"/>
      <c r="AR86" s="94"/>
      <c r="AS86" s="207"/>
      <c r="BF86" s="219" t="s">
        <v>3198</v>
      </c>
      <c r="BG86" s="18" t="s">
        <v>530</v>
      </c>
      <c r="BH86" s="105">
        <v>6941</v>
      </c>
      <c r="BI86" s="19" t="s">
        <v>496</v>
      </c>
      <c r="BJ86" s="19">
        <v>48</v>
      </c>
      <c r="BK86" s="19"/>
      <c r="BL86" s="220"/>
      <c r="BM86" s="19"/>
      <c r="BN86" s="19"/>
      <c r="BO86" s="12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</row>
    <row r="87" spans="13:79" ht="18">
      <c r="M87" s="104"/>
      <c r="O87" s="206" t="s">
        <v>4821</v>
      </c>
      <c r="P87" s="94" t="s">
        <v>3630</v>
      </c>
      <c r="Q87" s="180">
        <v>114098</v>
      </c>
      <c r="R87" s="258">
        <v>1250</v>
      </c>
      <c r="S87" s="259">
        <v>42</v>
      </c>
      <c r="T87" s="213" t="s">
        <v>4994</v>
      </c>
      <c r="U87" s="213">
        <v>4</v>
      </c>
      <c r="V87" s="213" t="s">
        <v>3443</v>
      </c>
      <c r="W87" s="213" t="s">
        <v>3572</v>
      </c>
      <c r="X87" s="213" t="s">
        <v>3441</v>
      </c>
      <c r="Y87" s="213" t="s">
        <v>4996</v>
      </c>
      <c r="Z87" s="213" t="s">
        <v>5026</v>
      </c>
      <c r="AA87" s="213">
        <v>36</v>
      </c>
      <c r="AB87" s="213">
        <v>42</v>
      </c>
      <c r="AC87" s="207" t="s">
        <v>4530</v>
      </c>
      <c r="AD87"/>
      <c r="AE87" s="206"/>
      <c r="AF87" s="94"/>
      <c r="AG87" s="94"/>
      <c r="AH87" s="94"/>
      <c r="AI87" s="94"/>
      <c r="AJ87" s="94"/>
      <c r="AK87" s="94"/>
      <c r="AL87" s="94"/>
      <c r="AM87" s="254"/>
      <c r="AN87" s="254"/>
      <c r="AO87" s="94"/>
      <c r="AP87" s="94"/>
      <c r="AQ87" s="94"/>
      <c r="AR87" s="94"/>
      <c r="AS87" s="207"/>
      <c r="BF87" s="219" t="s">
        <v>3199</v>
      </c>
      <c r="BG87" s="18" t="s">
        <v>531</v>
      </c>
      <c r="BH87" s="105">
        <v>6941</v>
      </c>
      <c r="BI87" s="19" t="s">
        <v>498</v>
      </c>
      <c r="BJ87" s="19">
        <v>60</v>
      </c>
      <c r="BK87" s="19"/>
      <c r="BL87" s="220"/>
      <c r="BM87" s="19"/>
      <c r="BN87" s="19"/>
      <c r="BO87" s="12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</row>
    <row r="88" spans="13:79" ht="18">
      <c r="M88" s="104"/>
      <c r="O88" s="206" t="s">
        <v>4822</v>
      </c>
      <c r="P88" s="94" t="s">
        <v>3631</v>
      </c>
      <c r="Q88" s="180">
        <v>145525</v>
      </c>
      <c r="R88" s="258">
        <v>1250</v>
      </c>
      <c r="S88" s="259">
        <v>42</v>
      </c>
      <c r="T88" s="213" t="s">
        <v>4994</v>
      </c>
      <c r="U88" s="213">
        <v>4</v>
      </c>
      <c r="V88" s="213" t="s">
        <v>3443</v>
      </c>
      <c r="W88" s="213" t="s">
        <v>3572</v>
      </c>
      <c r="X88" s="213" t="s">
        <v>3445</v>
      </c>
      <c r="Y88" s="213" t="s">
        <v>4999</v>
      </c>
      <c r="Z88" s="213" t="s">
        <v>5026</v>
      </c>
      <c r="AA88" s="213">
        <v>36</v>
      </c>
      <c r="AB88" s="213">
        <v>42</v>
      </c>
      <c r="AC88" s="207" t="s">
        <v>4530</v>
      </c>
      <c r="AD88"/>
      <c r="AE88" s="206"/>
      <c r="AF88" s="94"/>
      <c r="AG88" s="94"/>
      <c r="AH88" s="94"/>
      <c r="AI88" s="94"/>
      <c r="AJ88" s="94"/>
      <c r="AK88" s="94"/>
      <c r="AL88" s="94"/>
      <c r="AM88" s="254"/>
      <c r="AN88" s="254"/>
      <c r="AO88" s="94"/>
      <c r="AP88" s="94"/>
      <c r="AQ88" s="94"/>
      <c r="AR88" s="94"/>
      <c r="AS88" s="207"/>
      <c r="BF88" s="219" t="s">
        <v>3200</v>
      </c>
      <c r="BG88" s="18" t="s">
        <v>532</v>
      </c>
      <c r="BH88" s="105">
        <v>6941</v>
      </c>
      <c r="BI88" s="19" t="s">
        <v>533</v>
      </c>
      <c r="BJ88" s="19" t="s">
        <v>534</v>
      </c>
      <c r="BK88" s="19"/>
      <c r="BL88" s="220"/>
      <c r="BM88" s="19"/>
      <c r="BN88" s="19"/>
      <c r="BO88" s="12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</row>
    <row r="89" spans="13:79" ht="18">
      <c r="M89" s="104"/>
      <c r="O89" s="206" t="s">
        <v>4823</v>
      </c>
      <c r="P89" s="94" t="s">
        <v>3632</v>
      </c>
      <c r="Q89" s="180">
        <v>138306</v>
      </c>
      <c r="R89" s="258">
        <v>1250</v>
      </c>
      <c r="S89" s="259">
        <v>42</v>
      </c>
      <c r="T89" s="213" t="s">
        <v>4994</v>
      </c>
      <c r="U89" s="213">
        <v>4</v>
      </c>
      <c r="V89" s="213" t="s">
        <v>3443</v>
      </c>
      <c r="W89" s="213" t="s">
        <v>3572</v>
      </c>
      <c r="X89" s="213" t="s">
        <v>3445</v>
      </c>
      <c r="Y89" s="213" t="s">
        <v>4996</v>
      </c>
      <c r="Z89" s="213" t="s">
        <v>5026</v>
      </c>
      <c r="AA89" s="213">
        <v>36</v>
      </c>
      <c r="AB89" s="213">
        <v>42</v>
      </c>
      <c r="AC89" s="207" t="s">
        <v>4530</v>
      </c>
      <c r="AD89"/>
      <c r="AE89" s="206"/>
      <c r="AF89" s="94"/>
      <c r="AG89" s="94"/>
      <c r="AH89" s="94"/>
      <c r="AI89" s="94"/>
      <c r="AJ89" s="94"/>
      <c r="AK89" s="94"/>
      <c r="AL89" s="94"/>
      <c r="AM89" s="254"/>
      <c r="AN89" s="254"/>
      <c r="AO89" s="94"/>
      <c r="AP89" s="94"/>
      <c r="AQ89" s="94"/>
      <c r="AR89" s="94"/>
      <c r="AS89" s="207"/>
      <c r="BF89" s="219" t="s">
        <v>3201</v>
      </c>
      <c r="BG89" s="18" t="s">
        <v>535</v>
      </c>
      <c r="BH89" s="105">
        <v>6941</v>
      </c>
      <c r="BI89" s="19" t="s">
        <v>536</v>
      </c>
      <c r="BJ89" s="19" t="s">
        <v>455</v>
      </c>
      <c r="BK89" s="19"/>
      <c r="BL89" s="220"/>
      <c r="BM89" s="19"/>
      <c r="BN89" s="19"/>
      <c r="BO89" s="12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</row>
    <row r="90" spans="13:79" ht="18">
      <c r="M90" s="104"/>
      <c r="O90" s="206" t="s">
        <v>4825</v>
      </c>
      <c r="P90" s="94" t="s">
        <v>3635</v>
      </c>
      <c r="Q90" s="180">
        <v>91737</v>
      </c>
      <c r="R90" s="258">
        <v>1250</v>
      </c>
      <c r="S90" s="259">
        <v>65</v>
      </c>
      <c r="T90" s="213" t="s">
        <v>4997</v>
      </c>
      <c r="U90" s="213">
        <v>3</v>
      </c>
      <c r="V90" s="213" t="s">
        <v>3439</v>
      </c>
      <c r="W90" s="213" t="s">
        <v>3361</v>
      </c>
      <c r="X90" s="213" t="s">
        <v>3441</v>
      </c>
      <c r="Y90" s="213" t="s">
        <v>4995</v>
      </c>
      <c r="Z90" s="213" t="s">
        <v>3634</v>
      </c>
      <c r="AA90" s="213">
        <v>55</v>
      </c>
      <c r="AB90" s="213">
        <v>65</v>
      </c>
      <c r="AC90" s="207" t="s">
        <v>4530</v>
      </c>
      <c r="AD90"/>
      <c r="AE90" s="206"/>
      <c r="AF90" s="94"/>
      <c r="AG90" s="94"/>
      <c r="AH90" s="94"/>
      <c r="AI90" s="94"/>
      <c r="AJ90" s="94"/>
      <c r="AK90" s="94"/>
      <c r="AL90" s="94"/>
      <c r="AM90" s="254"/>
      <c r="AN90" s="254"/>
      <c r="AO90" s="94"/>
      <c r="AP90" s="94"/>
      <c r="AQ90" s="94"/>
      <c r="AR90" s="94"/>
      <c r="AS90" s="207"/>
      <c r="BF90" s="219" t="s">
        <v>3202</v>
      </c>
      <c r="BG90" s="18" t="s">
        <v>537</v>
      </c>
      <c r="BH90" s="105">
        <v>17005</v>
      </c>
      <c r="BI90" s="19" t="s">
        <v>529</v>
      </c>
      <c r="BJ90" s="19" t="s">
        <v>448</v>
      </c>
      <c r="BK90" s="19" t="s">
        <v>1527</v>
      </c>
      <c r="BL90" s="220"/>
      <c r="BM90" s="19"/>
      <c r="BN90" s="19"/>
      <c r="BO90" s="12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</row>
    <row r="91" spans="13:79" ht="18">
      <c r="M91" s="104"/>
      <c r="O91" s="206" t="s">
        <v>4828</v>
      </c>
      <c r="P91" s="94" t="s">
        <v>3638</v>
      </c>
      <c r="Q91" s="180">
        <v>104586</v>
      </c>
      <c r="R91" s="258">
        <v>1250</v>
      </c>
      <c r="S91" s="259">
        <v>65</v>
      </c>
      <c r="T91" s="213" t="s">
        <v>4997</v>
      </c>
      <c r="U91" s="213">
        <v>3</v>
      </c>
      <c r="V91" s="213" t="s">
        <v>3439</v>
      </c>
      <c r="W91" s="213" t="s">
        <v>3361</v>
      </c>
      <c r="X91" s="213" t="s">
        <v>3441</v>
      </c>
      <c r="Y91" s="213" t="s">
        <v>4999</v>
      </c>
      <c r="Z91" s="213" t="s">
        <v>3634</v>
      </c>
      <c r="AA91" s="213">
        <v>55</v>
      </c>
      <c r="AB91" s="213">
        <v>65</v>
      </c>
      <c r="AC91" s="207" t="s">
        <v>4530</v>
      </c>
      <c r="AD91"/>
      <c r="AE91" s="206"/>
      <c r="AF91" s="94"/>
      <c r="AG91" s="94"/>
      <c r="AH91" s="94"/>
      <c r="AI91" s="94"/>
      <c r="AJ91" s="94"/>
      <c r="AK91" s="94"/>
      <c r="AL91" s="94"/>
      <c r="AM91" s="254"/>
      <c r="AN91" s="254"/>
      <c r="AO91" s="94"/>
      <c r="AP91" s="94"/>
      <c r="AQ91" s="94"/>
      <c r="AR91" s="94"/>
      <c r="AS91" s="207"/>
      <c r="BF91" s="219" t="s">
        <v>3203</v>
      </c>
      <c r="BG91" s="18" t="s">
        <v>538</v>
      </c>
      <c r="BH91" s="105">
        <v>17005</v>
      </c>
      <c r="BI91" s="19" t="s">
        <v>539</v>
      </c>
      <c r="BJ91" s="19" t="s">
        <v>451</v>
      </c>
      <c r="BK91" s="19" t="s">
        <v>1528</v>
      </c>
      <c r="BL91" s="220"/>
      <c r="BM91" s="19"/>
      <c r="BN91" s="19"/>
      <c r="BO91" s="12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</row>
    <row r="92" spans="13:79" ht="18">
      <c r="M92" s="104"/>
      <c r="O92" s="206" t="s">
        <v>4831</v>
      </c>
      <c r="P92" s="94" t="s">
        <v>3641</v>
      </c>
      <c r="Q92" s="180">
        <v>97367</v>
      </c>
      <c r="R92" s="258">
        <v>1250</v>
      </c>
      <c r="S92" s="259">
        <v>65</v>
      </c>
      <c r="T92" s="213" t="s">
        <v>4997</v>
      </c>
      <c r="U92" s="213">
        <v>3</v>
      </c>
      <c r="V92" s="213" t="s">
        <v>3439</v>
      </c>
      <c r="W92" s="213" t="s">
        <v>3361</v>
      </c>
      <c r="X92" s="213" t="s">
        <v>3441</v>
      </c>
      <c r="Y92" s="213" t="s">
        <v>4996</v>
      </c>
      <c r="Z92" s="213" t="s">
        <v>3634</v>
      </c>
      <c r="AA92" s="213">
        <v>55</v>
      </c>
      <c r="AB92" s="213">
        <v>65</v>
      </c>
      <c r="AC92" s="207" t="s">
        <v>4530</v>
      </c>
      <c r="AD92"/>
      <c r="AE92" s="206"/>
      <c r="AF92" s="94"/>
      <c r="AG92" s="94"/>
      <c r="AH92" s="94"/>
      <c r="AI92" s="94"/>
      <c r="AJ92" s="94"/>
      <c r="AK92" s="94"/>
      <c r="AL92" s="94"/>
      <c r="AM92" s="254"/>
      <c r="AN92" s="254"/>
      <c r="AO92" s="94"/>
      <c r="AP92" s="94"/>
      <c r="AQ92" s="94"/>
      <c r="AR92" s="94"/>
      <c r="AS92" s="207"/>
      <c r="BF92" s="219" t="s">
        <v>3204</v>
      </c>
      <c r="BG92" s="18" t="s">
        <v>540</v>
      </c>
      <c r="BH92" s="105">
        <v>17005</v>
      </c>
      <c r="BI92" s="19" t="s">
        <v>541</v>
      </c>
      <c r="BJ92" s="19" t="s">
        <v>453</v>
      </c>
      <c r="BK92" s="19" t="s">
        <v>1529</v>
      </c>
      <c r="BL92" s="220"/>
      <c r="BM92" s="19"/>
      <c r="BN92" s="19"/>
      <c r="BO92" s="12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</row>
    <row r="93" spans="13:79" ht="18">
      <c r="M93" s="104"/>
      <c r="O93" s="206" t="s">
        <v>4834</v>
      </c>
      <c r="P93" s="94" t="s">
        <v>3644</v>
      </c>
      <c r="Q93" s="180">
        <v>128794</v>
      </c>
      <c r="R93" s="258">
        <v>1250</v>
      </c>
      <c r="S93" s="259">
        <v>65</v>
      </c>
      <c r="T93" s="213" t="s">
        <v>4997</v>
      </c>
      <c r="U93" s="213">
        <v>3</v>
      </c>
      <c r="V93" s="213" t="s">
        <v>3439</v>
      </c>
      <c r="W93" s="213" t="s">
        <v>3361</v>
      </c>
      <c r="X93" s="213" t="s">
        <v>3445</v>
      </c>
      <c r="Y93" s="213" t="s">
        <v>4999</v>
      </c>
      <c r="Z93" s="213" t="s">
        <v>3634</v>
      </c>
      <c r="AA93" s="213">
        <v>55</v>
      </c>
      <c r="AB93" s="213">
        <v>65</v>
      </c>
      <c r="AC93" s="207" t="s">
        <v>4530</v>
      </c>
      <c r="AD93"/>
      <c r="AE93" s="206"/>
      <c r="AF93" s="94"/>
      <c r="AG93" s="94"/>
      <c r="AH93" s="94"/>
      <c r="AI93" s="94"/>
      <c r="AJ93" s="94"/>
      <c r="AK93" s="94"/>
      <c r="AL93" s="94"/>
      <c r="AM93" s="254"/>
      <c r="AN93" s="254"/>
      <c r="AO93" s="94"/>
      <c r="AP93" s="94"/>
      <c r="AQ93" s="94"/>
      <c r="AR93" s="94"/>
      <c r="AS93" s="207"/>
      <c r="BF93" s="219" t="s">
        <v>3205</v>
      </c>
      <c r="BG93" s="18" t="s">
        <v>542</v>
      </c>
      <c r="BH93" s="105">
        <v>17005</v>
      </c>
      <c r="BI93" s="19" t="s">
        <v>536</v>
      </c>
      <c r="BJ93" s="19" t="s">
        <v>455</v>
      </c>
      <c r="BK93" s="19" t="s">
        <v>4568</v>
      </c>
      <c r="BL93" s="220"/>
      <c r="BM93" s="19"/>
      <c r="BN93" s="19"/>
      <c r="BO93" s="12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</row>
    <row r="94" spans="13:79" ht="18">
      <c r="M94" s="104"/>
      <c r="O94" s="206" t="s">
        <v>4837</v>
      </c>
      <c r="P94" s="94" t="s">
        <v>3647</v>
      </c>
      <c r="Q94" s="180">
        <v>121576</v>
      </c>
      <c r="R94" s="258">
        <v>1250</v>
      </c>
      <c r="S94" s="259">
        <v>65</v>
      </c>
      <c r="T94" s="213" t="s">
        <v>4997</v>
      </c>
      <c r="U94" s="213">
        <v>3</v>
      </c>
      <c r="V94" s="213" t="s">
        <v>3439</v>
      </c>
      <c r="W94" s="213" t="s">
        <v>3361</v>
      </c>
      <c r="X94" s="213" t="s">
        <v>3445</v>
      </c>
      <c r="Y94" s="213" t="s">
        <v>4996</v>
      </c>
      <c r="Z94" s="213" t="s">
        <v>3634</v>
      </c>
      <c r="AA94" s="213">
        <v>55</v>
      </c>
      <c r="AB94" s="213">
        <v>65</v>
      </c>
      <c r="AC94" s="207" t="s">
        <v>4530</v>
      </c>
      <c r="AD94"/>
      <c r="AE94" s="206"/>
      <c r="AF94" s="94"/>
      <c r="AG94" s="94"/>
      <c r="AH94" s="94"/>
      <c r="AI94" s="94"/>
      <c r="AJ94" s="94"/>
      <c r="AK94" s="94"/>
      <c r="AL94" s="94"/>
      <c r="AM94" s="254"/>
      <c r="AN94" s="254"/>
      <c r="AO94" s="94"/>
      <c r="AP94" s="94"/>
      <c r="AQ94" s="94"/>
      <c r="AR94" s="94"/>
      <c r="AS94" s="207"/>
      <c r="BF94" s="219" t="s">
        <v>3206</v>
      </c>
      <c r="BG94" s="18" t="s">
        <v>543</v>
      </c>
      <c r="BH94" s="105">
        <v>1054</v>
      </c>
      <c r="BI94" s="19" t="s">
        <v>544</v>
      </c>
      <c r="BJ94" s="19" t="s">
        <v>544</v>
      </c>
      <c r="BK94" s="19" t="s">
        <v>446</v>
      </c>
      <c r="BL94" s="220"/>
      <c r="BM94" s="19"/>
      <c r="BN94" s="19"/>
      <c r="BO94" s="12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</row>
    <row r="95" spans="13:79" ht="18">
      <c r="M95" s="104"/>
      <c r="O95" s="206" t="s">
        <v>4840</v>
      </c>
      <c r="P95" s="94" t="s">
        <v>3652</v>
      </c>
      <c r="Q95" s="180">
        <v>127600</v>
      </c>
      <c r="R95" s="258">
        <v>1250</v>
      </c>
      <c r="S95" s="259" t="s">
        <v>5004</v>
      </c>
      <c r="T95" s="213" t="s">
        <v>4997</v>
      </c>
      <c r="U95" s="213">
        <v>3</v>
      </c>
      <c r="V95" s="213" t="s">
        <v>3439</v>
      </c>
      <c r="W95" s="213" t="s">
        <v>3361</v>
      </c>
      <c r="X95" s="213" t="s">
        <v>3441</v>
      </c>
      <c r="Y95" s="213" t="s">
        <v>4995</v>
      </c>
      <c r="Z95" s="213" t="s">
        <v>3650</v>
      </c>
      <c r="AA95" s="213">
        <v>10</v>
      </c>
      <c r="AB95" s="213">
        <v>130</v>
      </c>
      <c r="AC95" s="207" t="s">
        <v>3651</v>
      </c>
      <c r="AD95"/>
      <c r="AE95" s="206"/>
      <c r="AF95" s="94"/>
      <c r="AG95" s="94"/>
      <c r="AH95" s="94"/>
      <c r="AI95" s="94"/>
      <c r="AJ95" s="94"/>
      <c r="AK95" s="94"/>
      <c r="AL95" s="94"/>
      <c r="AM95" s="254"/>
      <c r="AN95" s="254"/>
      <c r="AO95" s="94"/>
      <c r="AP95" s="94"/>
      <c r="AQ95" s="94"/>
      <c r="AR95" s="94"/>
      <c r="AS95" s="207"/>
      <c r="BF95" s="219" t="s">
        <v>3207</v>
      </c>
      <c r="BG95" s="18" t="s">
        <v>545</v>
      </c>
      <c r="BH95" s="105">
        <v>1512</v>
      </c>
      <c r="BI95" s="19" t="s">
        <v>544</v>
      </c>
      <c r="BJ95" s="19" t="s">
        <v>544</v>
      </c>
      <c r="BK95" s="19" t="s">
        <v>4569</v>
      </c>
      <c r="BL95" s="220"/>
      <c r="BM95" s="19"/>
      <c r="BN95" s="19"/>
      <c r="BO95" s="12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</row>
    <row r="96" spans="13:79" ht="18">
      <c r="M96" s="104"/>
      <c r="O96" s="206" t="s">
        <v>4843</v>
      </c>
      <c r="P96" s="94" t="s">
        <v>3655</v>
      </c>
      <c r="Q96" s="180">
        <v>140448</v>
      </c>
      <c r="R96" s="258">
        <v>1250</v>
      </c>
      <c r="S96" s="259" t="s">
        <v>5004</v>
      </c>
      <c r="T96" s="213" t="s">
        <v>4997</v>
      </c>
      <c r="U96" s="213">
        <v>3</v>
      </c>
      <c r="V96" s="213" t="s">
        <v>3439</v>
      </c>
      <c r="W96" s="213" t="s">
        <v>3361</v>
      </c>
      <c r="X96" s="213" t="s">
        <v>3441</v>
      </c>
      <c r="Y96" s="213" t="s">
        <v>4999</v>
      </c>
      <c r="Z96" s="213" t="s">
        <v>3650</v>
      </c>
      <c r="AA96" s="213">
        <v>10</v>
      </c>
      <c r="AB96" s="213">
        <v>130</v>
      </c>
      <c r="AC96" s="207" t="s">
        <v>3651</v>
      </c>
      <c r="AD96"/>
      <c r="AE96" s="206"/>
      <c r="AF96" s="94"/>
      <c r="AG96" s="94"/>
      <c r="AH96" s="94"/>
      <c r="AI96" s="94"/>
      <c r="AJ96" s="94"/>
      <c r="AK96" s="94"/>
      <c r="AL96" s="94"/>
      <c r="AM96" s="254"/>
      <c r="AN96" s="254"/>
      <c r="AO96" s="94"/>
      <c r="AP96" s="94"/>
      <c r="AQ96" s="94"/>
      <c r="AR96" s="94"/>
      <c r="AS96" s="207"/>
      <c r="BF96" s="219" t="s">
        <v>3208</v>
      </c>
      <c r="BG96" s="18" t="s">
        <v>546</v>
      </c>
      <c r="BH96" s="105">
        <v>2897</v>
      </c>
      <c r="BI96" s="19" t="s">
        <v>547</v>
      </c>
      <c r="BJ96" s="19" t="s">
        <v>547</v>
      </c>
      <c r="BK96" s="19" t="s">
        <v>2813</v>
      </c>
      <c r="BL96" s="220"/>
      <c r="BM96" s="19"/>
      <c r="BN96" s="19"/>
      <c r="BO96" s="12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</row>
    <row r="97" spans="13:79" ht="18">
      <c r="M97" s="104"/>
      <c r="O97" s="206" t="s">
        <v>4846</v>
      </c>
      <c r="P97" s="94" t="s">
        <v>3658</v>
      </c>
      <c r="Q97" s="180">
        <v>133230</v>
      </c>
      <c r="R97" s="258">
        <v>1250</v>
      </c>
      <c r="S97" s="259" t="s">
        <v>5004</v>
      </c>
      <c r="T97" s="213" t="s">
        <v>4997</v>
      </c>
      <c r="U97" s="213">
        <v>3</v>
      </c>
      <c r="V97" s="213" t="s">
        <v>3439</v>
      </c>
      <c r="W97" s="213" t="s">
        <v>3361</v>
      </c>
      <c r="X97" s="213" t="s">
        <v>3441</v>
      </c>
      <c r="Y97" s="213" t="s">
        <v>4996</v>
      </c>
      <c r="Z97" s="213" t="s">
        <v>3650</v>
      </c>
      <c r="AA97" s="213">
        <v>10</v>
      </c>
      <c r="AB97" s="213">
        <v>130</v>
      </c>
      <c r="AC97" s="207" t="s">
        <v>3651</v>
      </c>
      <c r="AD97"/>
      <c r="AE97" s="206"/>
      <c r="AF97" s="94"/>
      <c r="AG97" s="94"/>
      <c r="AH97" s="94"/>
      <c r="AI97" s="94"/>
      <c r="AJ97" s="94"/>
      <c r="AK97" s="94"/>
      <c r="AL97" s="94"/>
      <c r="AM97" s="254"/>
      <c r="AN97" s="254"/>
      <c r="AO97" s="94"/>
      <c r="AP97" s="94"/>
      <c r="AQ97" s="94"/>
      <c r="AR97" s="94"/>
      <c r="AS97" s="207"/>
      <c r="BF97" s="219" t="s">
        <v>3209</v>
      </c>
      <c r="BG97" s="18" t="s">
        <v>548</v>
      </c>
      <c r="BH97" s="105">
        <v>11689</v>
      </c>
      <c r="BI97" s="19" t="s">
        <v>549</v>
      </c>
      <c r="BJ97" s="19" t="s">
        <v>549</v>
      </c>
      <c r="BK97" s="19" t="s">
        <v>2210</v>
      </c>
      <c r="BL97" s="220"/>
      <c r="BM97" s="19"/>
      <c r="BN97" s="19"/>
      <c r="BO97" s="12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</row>
    <row r="98" spans="13:79" ht="18">
      <c r="M98" s="104"/>
      <c r="O98" s="206" t="s">
        <v>4848</v>
      </c>
      <c r="P98" s="94" t="s">
        <v>3660</v>
      </c>
      <c r="Q98" s="180">
        <v>133233</v>
      </c>
      <c r="R98" s="258">
        <v>1250</v>
      </c>
      <c r="S98" s="259" t="s">
        <v>5004</v>
      </c>
      <c r="T98" s="213" t="s">
        <v>4997</v>
      </c>
      <c r="U98" s="213">
        <v>3</v>
      </c>
      <c r="V98" s="213" t="s">
        <v>3439</v>
      </c>
      <c r="W98" s="213" t="s">
        <v>3361</v>
      </c>
      <c r="X98" s="213" t="s">
        <v>3441</v>
      </c>
      <c r="Y98" s="213" t="s">
        <v>4996</v>
      </c>
      <c r="Z98" s="213" t="s">
        <v>3650</v>
      </c>
      <c r="AA98" s="213">
        <v>10</v>
      </c>
      <c r="AB98" s="213">
        <v>130</v>
      </c>
      <c r="AC98" s="207" t="s">
        <v>3651</v>
      </c>
      <c r="AD98"/>
      <c r="AE98" s="206"/>
      <c r="AF98" s="94"/>
      <c r="AG98" s="94"/>
      <c r="AH98" s="94"/>
      <c r="AI98" s="94"/>
      <c r="AJ98" s="94"/>
      <c r="AK98" s="94"/>
      <c r="AL98" s="94"/>
      <c r="AM98" s="254"/>
      <c r="AN98" s="254"/>
      <c r="AO98" s="94"/>
      <c r="AP98" s="94"/>
      <c r="AQ98" s="94"/>
      <c r="AR98" s="94"/>
      <c r="AS98" s="207"/>
      <c r="BF98" s="219" t="s">
        <v>3210</v>
      </c>
      <c r="BG98" s="18" t="s">
        <v>550</v>
      </c>
      <c r="BH98" s="105">
        <v>12987</v>
      </c>
      <c r="BI98" s="19" t="s">
        <v>549</v>
      </c>
      <c r="BJ98" s="19" t="s">
        <v>549</v>
      </c>
      <c r="BK98" s="19" t="s">
        <v>2211</v>
      </c>
      <c r="BL98" s="220"/>
      <c r="BM98" s="19"/>
      <c r="BN98" s="19"/>
      <c r="BO98" s="12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</row>
    <row r="99" spans="13:79" ht="18">
      <c r="M99" s="104"/>
      <c r="O99" s="206" t="s">
        <v>4849</v>
      </c>
      <c r="P99" s="94" t="s">
        <v>3661</v>
      </c>
      <c r="Q99" s="180">
        <v>133233</v>
      </c>
      <c r="R99" s="258">
        <v>1250</v>
      </c>
      <c r="S99" s="259" t="s">
        <v>5004</v>
      </c>
      <c r="T99" s="213" t="s">
        <v>4997</v>
      </c>
      <c r="U99" s="213">
        <v>3</v>
      </c>
      <c r="V99" s="213" t="s">
        <v>3439</v>
      </c>
      <c r="W99" s="213" t="s">
        <v>3361</v>
      </c>
      <c r="X99" s="213" t="s">
        <v>3441</v>
      </c>
      <c r="Y99" s="213" t="s">
        <v>4996</v>
      </c>
      <c r="Z99" s="213" t="s">
        <v>3650</v>
      </c>
      <c r="AA99" s="213">
        <v>10</v>
      </c>
      <c r="AB99" s="213">
        <v>130</v>
      </c>
      <c r="AC99" s="207" t="s">
        <v>3651</v>
      </c>
      <c r="AD99"/>
      <c r="AE99" s="206"/>
      <c r="AF99" s="94"/>
      <c r="AG99" s="94"/>
      <c r="AH99" s="94"/>
      <c r="AI99" s="94"/>
      <c r="AJ99" s="94"/>
      <c r="AK99" s="94"/>
      <c r="AL99" s="94"/>
      <c r="AM99" s="254"/>
      <c r="AN99" s="254"/>
      <c r="AO99" s="94"/>
      <c r="AP99" s="94"/>
      <c r="AQ99" s="94"/>
      <c r="AR99" s="94"/>
      <c r="AS99" s="207"/>
      <c r="BF99" s="219" t="s">
        <v>3211</v>
      </c>
      <c r="BG99" s="18" t="s">
        <v>551</v>
      </c>
      <c r="BH99" s="105">
        <v>6397</v>
      </c>
      <c r="BI99" s="19" t="s">
        <v>552</v>
      </c>
      <c r="BJ99" s="19" t="s">
        <v>552</v>
      </c>
      <c r="BK99" s="19" t="s">
        <v>2213</v>
      </c>
      <c r="BL99" s="220"/>
      <c r="BM99" s="19"/>
      <c r="BN99" s="19"/>
      <c r="BO99" s="12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</row>
    <row r="100" spans="13:79" ht="18">
      <c r="M100" s="104"/>
      <c r="O100" s="206" t="s">
        <v>4850</v>
      </c>
      <c r="P100" s="94" t="s">
        <v>3662</v>
      </c>
      <c r="Q100" s="180">
        <v>133233</v>
      </c>
      <c r="R100" s="258">
        <v>1250</v>
      </c>
      <c r="S100" s="259" t="s">
        <v>5004</v>
      </c>
      <c r="T100" s="213" t="s">
        <v>4997</v>
      </c>
      <c r="U100" s="213">
        <v>3</v>
      </c>
      <c r="V100" s="213" t="s">
        <v>3439</v>
      </c>
      <c r="W100" s="213" t="s">
        <v>3361</v>
      </c>
      <c r="X100" s="213" t="s">
        <v>3441</v>
      </c>
      <c r="Y100" s="213" t="s">
        <v>4996</v>
      </c>
      <c r="Z100" s="213" t="s">
        <v>3650</v>
      </c>
      <c r="AA100" s="213">
        <v>10</v>
      </c>
      <c r="AB100" s="213">
        <v>130</v>
      </c>
      <c r="AC100" s="207" t="s">
        <v>3651</v>
      </c>
      <c r="AD100"/>
      <c r="AE100" s="206"/>
      <c r="AF100" s="94"/>
      <c r="AG100" s="94"/>
      <c r="AH100" s="94"/>
      <c r="AI100" s="94"/>
      <c r="AJ100" s="94"/>
      <c r="AK100" s="94"/>
      <c r="AL100" s="94"/>
      <c r="AM100" s="254"/>
      <c r="AN100" s="254"/>
      <c r="AO100" s="94"/>
      <c r="AP100" s="94"/>
      <c r="AQ100" s="94"/>
      <c r="AR100" s="94"/>
      <c r="AS100" s="207"/>
      <c r="BF100" s="219" t="s">
        <v>3212</v>
      </c>
      <c r="BG100" s="18" t="s">
        <v>456</v>
      </c>
      <c r="BH100" s="105">
        <v>9648</v>
      </c>
      <c r="BI100" s="19" t="s">
        <v>553</v>
      </c>
      <c r="BJ100" s="19" t="s">
        <v>553</v>
      </c>
      <c r="BK100" s="19" t="s">
        <v>2214</v>
      </c>
      <c r="BL100" s="220"/>
      <c r="BM100" s="19"/>
      <c r="BN100" s="19"/>
      <c r="BO100" s="12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</row>
    <row r="101" spans="13:79" ht="18">
      <c r="M101" s="104"/>
      <c r="O101" s="206" t="s">
        <v>4852</v>
      </c>
      <c r="P101" s="94" t="s">
        <v>3664</v>
      </c>
      <c r="Q101" s="180">
        <v>164657</v>
      </c>
      <c r="R101" s="258">
        <v>1250</v>
      </c>
      <c r="S101" s="259" t="s">
        <v>5004</v>
      </c>
      <c r="T101" s="213" t="s">
        <v>4997</v>
      </c>
      <c r="U101" s="213">
        <v>3</v>
      </c>
      <c r="V101" s="213" t="s">
        <v>3439</v>
      </c>
      <c r="W101" s="213" t="s">
        <v>3361</v>
      </c>
      <c r="X101" s="213" t="s">
        <v>3445</v>
      </c>
      <c r="Y101" s="213" t="s">
        <v>4999</v>
      </c>
      <c r="Z101" s="213" t="s">
        <v>3650</v>
      </c>
      <c r="AA101" s="213">
        <v>10</v>
      </c>
      <c r="AB101" s="213">
        <v>130</v>
      </c>
      <c r="AC101" s="207" t="s">
        <v>3651</v>
      </c>
      <c r="AD101"/>
      <c r="AE101" s="206"/>
      <c r="AF101" s="94"/>
      <c r="AG101" s="94"/>
      <c r="AH101" s="94"/>
      <c r="AI101" s="94"/>
      <c r="AJ101" s="94"/>
      <c r="AK101" s="94"/>
      <c r="AL101" s="94"/>
      <c r="AM101" s="254"/>
      <c r="AN101" s="254"/>
      <c r="AO101" s="94"/>
      <c r="AP101" s="94"/>
      <c r="AQ101" s="94"/>
      <c r="AR101" s="94"/>
      <c r="AS101" s="207"/>
      <c r="BF101" s="219" t="s">
        <v>3213</v>
      </c>
      <c r="BG101" s="18" t="s">
        <v>2267</v>
      </c>
      <c r="BH101" s="105">
        <v>9648</v>
      </c>
      <c r="BI101" s="19" t="s">
        <v>554</v>
      </c>
      <c r="BJ101" s="19" t="s">
        <v>554</v>
      </c>
      <c r="BK101" s="19" t="s">
        <v>2215</v>
      </c>
      <c r="BL101" s="220"/>
      <c r="BM101" s="19"/>
      <c r="BN101" s="19"/>
      <c r="BO101" s="12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</row>
    <row r="102" spans="13:79" ht="18">
      <c r="M102" s="104"/>
      <c r="O102" s="206" t="s">
        <v>4855</v>
      </c>
      <c r="P102" s="94" t="s">
        <v>3667</v>
      </c>
      <c r="Q102" s="180">
        <v>157440</v>
      </c>
      <c r="R102" s="258">
        <v>1250</v>
      </c>
      <c r="S102" s="259" t="s">
        <v>5004</v>
      </c>
      <c r="T102" s="213" t="s">
        <v>4997</v>
      </c>
      <c r="U102" s="213">
        <v>3</v>
      </c>
      <c r="V102" s="213" t="s">
        <v>3439</v>
      </c>
      <c r="W102" s="213" t="s">
        <v>3361</v>
      </c>
      <c r="X102" s="213" t="s">
        <v>3445</v>
      </c>
      <c r="Y102" s="213" t="s">
        <v>4996</v>
      </c>
      <c r="Z102" s="213" t="s">
        <v>3650</v>
      </c>
      <c r="AA102" s="213">
        <v>10</v>
      </c>
      <c r="AB102" s="213">
        <v>130</v>
      </c>
      <c r="AC102" s="207" t="s">
        <v>3651</v>
      </c>
      <c r="AD102"/>
      <c r="AE102" s="206"/>
      <c r="AF102" s="94"/>
      <c r="AG102" s="94"/>
      <c r="AH102" s="94"/>
      <c r="AI102" s="94"/>
      <c r="AJ102" s="94"/>
      <c r="AK102" s="94"/>
      <c r="AL102" s="94"/>
      <c r="AM102" s="254"/>
      <c r="AN102" s="254"/>
      <c r="AO102" s="94"/>
      <c r="AP102" s="94"/>
      <c r="AQ102" s="94"/>
      <c r="AR102" s="94"/>
      <c r="AS102" s="207"/>
      <c r="BF102" s="219" t="s">
        <v>3214</v>
      </c>
      <c r="BG102" s="18" t="s">
        <v>2267</v>
      </c>
      <c r="BH102" s="105">
        <v>9648</v>
      </c>
      <c r="BI102" s="19" t="s">
        <v>555</v>
      </c>
      <c r="BJ102" s="19" t="s">
        <v>555</v>
      </c>
      <c r="BK102" s="19" t="s">
        <v>2216</v>
      </c>
      <c r="BL102" s="220"/>
      <c r="BM102" s="19"/>
      <c r="BN102" s="19"/>
      <c r="BO102" s="12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</row>
    <row r="103" spans="13:79" ht="18">
      <c r="M103" s="104"/>
      <c r="O103" s="206" t="s">
        <v>4858</v>
      </c>
      <c r="P103" s="94" t="s">
        <v>3671</v>
      </c>
      <c r="Q103" s="180">
        <v>96255</v>
      </c>
      <c r="R103" s="258">
        <v>1600</v>
      </c>
      <c r="S103" s="259">
        <v>42</v>
      </c>
      <c r="T103" s="213" t="s">
        <v>4997</v>
      </c>
      <c r="U103" s="213">
        <v>3</v>
      </c>
      <c r="V103" s="213" t="s">
        <v>3439</v>
      </c>
      <c r="W103" s="213" t="s">
        <v>3361</v>
      </c>
      <c r="X103" s="213" t="s">
        <v>3441</v>
      </c>
      <c r="Y103" s="213" t="s">
        <v>4995</v>
      </c>
      <c r="Z103" s="213" t="s">
        <v>3670</v>
      </c>
      <c r="AA103" s="213">
        <v>42</v>
      </c>
      <c r="AB103" s="213">
        <v>42</v>
      </c>
      <c r="AC103" s="207" t="s">
        <v>4530</v>
      </c>
      <c r="AD103"/>
      <c r="AE103" s="206"/>
      <c r="AF103" s="94"/>
      <c r="AG103" s="94"/>
      <c r="AH103" s="94"/>
      <c r="AI103" s="94"/>
      <c r="AJ103" s="94"/>
      <c r="AK103" s="94"/>
      <c r="AL103" s="94"/>
      <c r="AM103" s="254"/>
      <c r="AN103" s="254"/>
      <c r="AO103" s="94"/>
      <c r="AP103" s="94"/>
      <c r="AQ103" s="94"/>
      <c r="AR103" s="94"/>
      <c r="AS103" s="207"/>
      <c r="BF103" s="219" t="s">
        <v>3215</v>
      </c>
      <c r="BG103" s="18" t="s">
        <v>2267</v>
      </c>
      <c r="BH103" s="105">
        <v>9648</v>
      </c>
      <c r="BI103" s="19" t="s">
        <v>556</v>
      </c>
      <c r="BJ103" s="19" t="s">
        <v>556</v>
      </c>
      <c r="BK103" s="19" t="s">
        <v>4595</v>
      </c>
      <c r="BL103" s="220"/>
      <c r="BM103" s="19"/>
      <c r="BN103" s="19"/>
      <c r="BO103" s="12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</row>
    <row r="104" spans="13:79" ht="18">
      <c r="M104" s="104"/>
      <c r="O104" s="206" t="s">
        <v>4861</v>
      </c>
      <c r="P104" s="94" t="s">
        <v>3674</v>
      </c>
      <c r="Q104" s="180">
        <v>109104</v>
      </c>
      <c r="R104" s="258">
        <v>1600</v>
      </c>
      <c r="S104" s="259">
        <v>42</v>
      </c>
      <c r="T104" s="213" t="s">
        <v>4997</v>
      </c>
      <c r="U104" s="213">
        <v>3</v>
      </c>
      <c r="V104" s="213" t="s">
        <v>3439</v>
      </c>
      <c r="W104" s="213" t="s">
        <v>3361</v>
      </c>
      <c r="X104" s="213" t="s">
        <v>3441</v>
      </c>
      <c r="Y104" s="213" t="s">
        <v>4999</v>
      </c>
      <c r="Z104" s="213" t="s">
        <v>3670</v>
      </c>
      <c r="AA104" s="213">
        <v>42</v>
      </c>
      <c r="AB104" s="213">
        <v>42</v>
      </c>
      <c r="AC104" s="207" t="s">
        <v>4530</v>
      </c>
      <c r="AD104"/>
      <c r="AE104" s="206"/>
      <c r="AF104" s="94"/>
      <c r="AG104" s="94"/>
      <c r="AH104" s="94"/>
      <c r="AI104" s="94"/>
      <c r="AJ104" s="94"/>
      <c r="AK104" s="94"/>
      <c r="AL104" s="94"/>
      <c r="AM104" s="254"/>
      <c r="AN104" s="254"/>
      <c r="AO104" s="94"/>
      <c r="AP104" s="94"/>
      <c r="AQ104" s="94"/>
      <c r="AR104" s="94"/>
      <c r="AS104" s="207"/>
      <c r="BF104" s="219" t="s">
        <v>3216</v>
      </c>
      <c r="BG104" s="18" t="s">
        <v>2267</v>
      </c>
      <c r="BH104" s="105">
        <v>9648</v>
      </c>
      <c r="BI104" s="19" t="s">
        <v>557</v>
      </c>
      <c r="BJ104" s="19" t="s">
        <v>557</v>
      </c>
      <c r="BK104" s="19" t="s">
        <v>4596</v>
      </c>
      <c r="BL104" s="220"/>
      <c r="BM104" s="19"/>
      <c r="BN104" s="19"/>
      <c r="BO104" s="12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</row>
    <row r="105" spans="13:79" ht="18">
      <c r="M105" s="104"/>
      <c r="O105" s="206" t="s">
        <v>4864</v>
      </c>
      <c r="P105" s="94" t="s">
        <v>3677</v>
      </c>
      <c r="Q105" s="180">
        <v>101886</v>
      </c>
      <c r="R105" s="258">
        <v>1600</v>
      </c>
      <c r="S105" s="259">
        <v>42</v>
      </c>
      <c r="T105" s="213" t="s">
        <v>4997</v>
      </c>
      <c r="U105" s="213">
        <v>3</v>
      </c>
      <c r="V105" s="213" t="s">
        <v>3439</v>
      </c>
      <c r="W105" s="213" t="s">
        <v>3361</v>
      </c>
      <c r="X105" s="213" t="s">
        <v>3441</v>
      </c>
      <c r="Y105" s="213" t="s">
        <v>4996</v>
      </c>
      <c r="Z105" s="213" t="s">
        <v>3670</v>
      </c>
      <c r="AA105" s="213">
        <v>42</v>
      </c>
      <c r="AB105" s="213">
        <v>42</v>
      </c>
      <c r="AC105" s="207" t="s">
        <v>4530</v>
      </c>
      <c r="AD105"/>
      <c r="AE105" s="206"/>
      <c r="AF105" s="94"/>
      <c r="AG105" s="94"/>
      <c r="AH105" s="94"/>
      <c r="AI105" s="94"/>
      <c r="AJ105" s="94"/>
      <c r="AK105" s="94"/>
      <c r="AL105" s="94"/>
      <c r="AM105" s="254"/>
      <c r="AN105" s="254"/>
      <c r="AO105" s="94"/>
      <c r="AP105" s="94"/>
      <c r="AQ105" s="94"/>
      <c r="AR105" s="94"/>
      <c r="AS105" s="207"/>
      <c r="BF105" s="219" t="s">
        <v>3217</v>
      </c>
      <c r="BG105" s="18" t="s">
        <v>558</v>
      </c>
      <c r="BH105" s="105">
        <v>2141</v>
      </c>
      <c r="BI105" s="19" t="s">
        <v>544</v>
      </c>
      <c r="BJ105" s="19" t="s">
        <v>544</v>
      </c>
      <c r="BK105" s="19" t="s">
        <v>4899</v>
      </c>
      <c r="BL105" s="220"/>
      <c r="BM105" s="19"/>
      <c r="BN105" s="19"/>
      <c r="BO105" s="12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</row>
    <row r="106" spans="13:79" ht="18">
      <c r="M106" s="104"/>
      <c r="O106" s="206" t="s">
        <v>4867</v>
      </c>
      <c r="P106" s="94" t="s">
        <v>3680</v>
      </c>
      <c r="Q106" s="180">
        <v>133313</v>
      </c>
      <c r="R106" s="258">
        <v>1600</v>
      </c>
      <c r="S106" s="259">
        <v>42</v>
      </c>
      <c r="T106" s="213" t="s">
        <v>4997</v>
      </c>
      <c r="U106" s="213">
        <v>3</v>
      </c>
      <c r="V106" s="213" t="s">
        <v>3439</v>
      </c>
      <c r="W106" s="213" t="s">
        <v>3361</v>
      </c>
      <c r="X106" s="213" t="s">
        <v>3445</v>
      </c>
      <c r="Y106" s="213" t="s">
        <v>4999</v>
      </c>
      <c r="Z106" s="213" t="s">
        <v>3670</v>
      </c>
      <c r="AA106" s="213">
        <v>42</v>
      </c>
      <c r="AB106" s="213">
        <v>42</v>
      </c>
      <c r="AC106" s="207" t="s">
        <v>4530</v>
      </c>
      <c r="AD106"/>
      <c r="AE106" s="206"/>
      <c r="AF106" s="94"/>
      <c r="AG106" s="94"/>
      <c r="AH106" s="94"/>
      <c r="AI106" s="94"/>
      <c r="AJ106" s="94"/>
      <c r="AK106" s="94"/>
      <c r="AL106" s="94"/>
      <c r="AM106" s="254"/>
      <c r="AN106" s="254"/>
      <c r="AO106" s="94"/>
      <c r="AP106" s="94"/>
      <c r="AQ106" s="94"/>
      <c r="AR106" s="94"/>
      <c r="AS106" s="207"/>
      <c r="BF106" s="219" t="s">
        <v>3218</v>
      </c>
      <c r="BG106" s="18" t="s">
        <v>559</v>
      </c>
      <c r="BH106" s="105">
        <v>2141</v>
      </c>
      <c r="BI106" s="19" t="s">
        <v>544</v>
      </c>
      <c r="BJ106" s="19" t="s">
        <v>544</v>
      </c>
      <c r="BK106" s="19" t="s">
        <v>4900</v>
      </c>
      <c r="BL106" s="220"/>
      <c r="BM106" s="19"/>
      <c r="BN106" s="19"/>
      <c r="BO106" s="12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</row>
    <row r="107" spans="13:79" ht="18">
      <c r="M107" s="104"/>
      <c r="O107" s="206" t="s">
        <v>4870</v>
      </c>
      <c r="P107" s="94" t="s">
        <v>3683</v>
      </c>
      <c r="Q107" s="180">
        <v>126096</v>
      </c>
      <c r="R107" s="258">
        <v>1600</v>
      </c>
      <c r="S107" s="259">
        <v>42</v>
      </c>
      <c r="T107" s="213" t="s">
        <v>4997</v>
      </c>
      <c r="U107" s="213">
        <v>3</v>
      </c>
      <c r="V107" s="213" t="s">
        <v>3439</v>
      </c>
      <c r="W107" s="213" t="s">
        <v>3361</v>
      </c>
      <c r="X107" s="213" t="s">
        <v>3445</v>
      </c>
      <c r="Y107" s="213" t="s">
        <v>4996</v>
      </c>
      <c r="Z107" s="213" t="s">
        <v>3670</v>
      </c>
      <c r="AA107" s="213">
        <v>42</v>
      </c>
      <c r="AB107" s="213">
        <v>42</v>
      </c>
      <c r="AC107" s="207" t="s">
        <v>4530</v>
      </c>
      <c r="AD107"/>
      <c r="AE107" s="206"/>
      <c r="AF107" s="94"/>
      <c r="AG107" s="94"/>
      <c r="AH107" s="94"/>
      <c r="AI107" s="94"/>
      <c r="AJ107" s="94"/>
      <c r="AK107" s="94"/>
      <c r="AL107" s="94"/>
      <c r="AM107" s="254"/>
      <c r="AN107" s="254"/>
      <c r="AO107" s="94"/>
      <c r="AP107" s="94"/>
      <c r="AQ107" s="94"/>
      <c r="AR107" s="94"/>
      <c r="AS107" s="207"/>
      <c r="BF107" s="219" t="s">
        <v>3219</v>
      </c>
      <c r="BG107" s="18" t="s">
        <v>2241</v>
      </c>
      <c r="BH107" s="105">
        <v>4496</v>
      </c>
      <c r="BI107" s="19" t="s">
        <v>544</v>
      </c>
      <c r="BJ107" s="19" t="s">
        <v>544</v>
      </c>
      <c r="BK107" s="19" t="s">
        <v>2212</v>
      </c>
      <c r="BL107" s="220"/>
      <c r="BM107" s="19"/>
      <c r="BN107" s="19"/>
      <c r="BO107" s="12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</row>
    <row r="108" spans="13:79" ht="18">
      <c r="M108" s="104"/>
      <c r="O108" s="206" t="s">
        <v>4873</v>
      </c>
      <c r="P108" s="94" t="s">
        <v>3686</v>
      </c>
      <c r="Q108" s="180">
        <v>111359</v>
      </c>
      <c r="R108" s="258">
        <v>1600</v>
      </c>
      <c r="S108" s="259">
        <v>65</v>
      </c>
      <c r="T108" s="213" t="s">
        <v>4997</v>
      </c>
      <c r="U108" s="213">
        <v>3</v>
      </c>
      <c r="V108" s="213" t="s">
        <v>3439</v>
      </c>
      <c r="W108" s="213" t="s">
        <v>3361</v>
      </c>
      <c r="X108" s="213" t="s">
        <v>3441</v>
      </c>
      <c r="Y108" s="213" t="s">
        <v>4995</v>
      </c>
      <c r="Z108" s="213" t="s">
        <v>3634</v>
      </c>
      <c r="AA108" s="213">
        <v>55</v>
      </c>
      <c r="AB108" s="213">
        <v>65</v>
      </c>
      <c r="AC108" s="207" t="s">
        <v>4530</v>
      </c>
      <c r="AD108"/>
      <c r="AE108" s="206"/>
      <c r="AF108" s="94"/>
      <c r="AG108" s="94"/>
      <c r="AH108" s="94"/>
      <c r="AI108" s="94"/>
      <c r="AJ108" s="94"/>
      <c r="AK108" s="94"/>
      <c r="AL108" s="94"/>
      <c r="AM108" s="254"/>
      <c r="AN108" s="254"/>
      <c r="AO108" s="94"/>
      <c r="AP108" s="94"/>
      <c r="AQ108" s="94"/>
      <c r="AR108" s="94"/>
      <c r="AS108" s="207"/>
      <c r="BF108" s="219" t="s">
        <v>3220</v>
      </c>
      <c r="BG108" s="18" t="s">
        <v>560</v>
      </c>
      <c r="BH108" s="105">
        <v>1411</v>
      </c>
      <c r="BI108" s="19" t="s">
        <v>544</v>
      </c>
      <c r="BJ108" s="19" t="s">
        <v>544</v>
      </c>
      <c r="BK108" s="19" t="s">
        <v>4570</v>
      </c>
      <c r="BL108" s="220"/>
      <c r="BM108" s="19"/>
      <c r="BN108" s="19"/>
      <c r="BO108" s="12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</row>
    <row r="109" spans="13:79" ht="18">
      <c r="M109" s="104"/>
      <c r="O109" s="206" t="s">
        <v>3143</v>
      </c>
      <c r="P109" s="94" t="s">
        <v>3689</v>
      </c>
      <c r="Q109" s="180">
        <v>124207</v>
      </c>
      <c r="R109" s="258">
        <v>1600</v>
      </c>
      <c r="S109" s="259">
        <v>65</v>
      </c>
      <c r="T109" s="213" t="s">
        <v>4997</v>
      </c>
      <c r="U109" s="213">
        <v>3</v>
      </c>
      <c r="V109" s="213" t="s">
        <v>3439</v>
      </c>
      <c r="W109" s="213" t="s">
        <v>3361</v>
      </c>
      <c r="X109" s="213" t="s">
        <v>3441</v>
      </c>
      <c r="Y109" s="213" t="s">
        <v>4999</v>
      </c>
      <c r="Z109" s="213" t="s">
        <v>3634</v>
      </c>
      <c r="AA109" s="213">
        <v>55</v>
      </c>
      <c r="AB109" s="213">
        <v>65</v>
      </c>
      <c r="AC109" s="207" t="s">
        <v>4530</v>
      </c>
      <c r="AD109"/>
      <c r="AE109" s="206"/>
      <c r="AF109" s="94"/>
      <c r="AG109" s="94"/>
      <c r="AH109" s="94"/>
      <c r="AI109" s="94"/>
      <c r="AJ109" s="94"/>
      <c r="AK109" s="94"/>
      <c r="AL109" s="94"/>
      <c r="AM109" s="254"/>
      <c r="AN109" s="254"/>
      <c r="AO109" s="94"/>
      <c r="AP109" s="94"/>
      <c r="AQ109" s="94"/>
      <c r="AR109" s="94"/>
      <c r="AS109" s="207"/>
      <c r="BF109" s="219" t="s">
        <v>3221</v>
      </c>
      <c r="BG109" s="18" t="s">
        <v>561</v>
      </c>
      <c r="BH109" s="105">
        <v>1411</v>
      </c>
      <c r="BI109" s="19" t="s">
        <v>544</v>
      </c>
      <c r="BJ109" s="19" t="s">
        <v>544</v>
      </c>
      <c r="BK109" s="19" t="s">
        <v>4571</v>
      </c>
      <c r="BL109" s="220"/>
      <c r="BM109" s="19"/>
      <c r="BN109" s="19"/>
      <c r="BO109" s="12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</row>
    <row r="110" spans="13:79" ht="18">
      <c r="M110" s="104"/>
      <c r="O110" s="206" t="s">
        <v>3146</v>
      </c>
      <c r="P110" s="94" t="s">
        <v>3692</v>
      </c>
      <c r="Q110" s="180">
        <v>116989</v>
      </c>
      <c r="R110" s="258">
        <v>1600</v>
      </c>
      <c r="S110" s="259">
        <v>65</v>
      </c>
      <c r="T110" s="213" t="s">
        <v>4997</v>
      </c>
      <c r="U110" s="213">
        <v>3</v>
      </c>
      <c r="V110" s="213" t="s">
        <v>3439</v>
      </c>
      <c r="W110" s="213" t="s">
        <v>3361</v>
      </c>
      <c r="X110" s="213" t="s">
        <v>3441</v>
      </c>
      <c r="Y110" s="213" t="s">
        <v>4996</v>
      </c>
      <c r="Z110" s="213" t="s">
        <v>3634</v>
      </c>
      <c r="AA110" s="213">
        <v>55</v>
      </c>
      <c r="AB110" s="213">
        <v>65</v>
      </c>
      <c r="AC110" s="207" t="s">
        <v>4530</v>
      </c>
      <c r="AD110"/>
      <c r="AE110" s="206"/>
      <c r="AF110" s="94"/>
      <c r="AG110" s="94"/>
      <c r="AH110" s="94"/>
      <c r="AI110" s="94"/>
      <c r="AJ110" s="94"/>
      <c r="AK110" s="94"/>
      <c r="AL110" s="94"/>
      <c r="AM110" s="254"/>
      <c r="AN110" s="254"/>
      <c r="AO110" s="94"/>
      <c r="AP110" s="94"/>
      <c r="AQ110" s="94"/>
      <c r="AR110" s="94"/>
      <c r="AS110" s="207"/>
      <c r="BF110" s="219" t="s">
        <v>3222</v>
      </c>
      <c r="BG110" s="18" t="s">
        <v>562</v>
      </c>
      <c r="BH110" s="105">
        <v>1411</v>
      </c>
      <c r="BI110" s="19" t="s">
        <v>544</v>
      </c>
      <c r="BJ110" s="19" t="s">
        <v>544</v>
      </c>
      <c r="BK110" s="19" t="s">
        <v>4572</v>
      </c>
      <c r="BL110" s="220"/>
      <c r="BM110" s="19"/>
      <c r="BN110" s="19"/>
      <c r="BO110" s="12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</row>
    <row r="111" spans="13:79" ht="18">
      <c r="M111" s="104"/>
      <c r="O111" s="206" t="s">
        <v>3788</v>
      </c>
      <c r="P111" s="94" t="s">
        <v>729</v>
      </c>
      <c r="Q111" s="180">
        <v>148417</v>
      </c>
      <c r="R111" s="258">
        <v>1600</v>
      </c>
      <c r="S111" s="259">
        <v>65</v>
      </c>
      <c r="T111" s="213" t="s">
        <v>4997</v>
      </c>
      <c r="U111" s="213">
        <v>3</v>
      </c>
      <c r="V111" s="213" t="s">
        <v>3439</v>
      </c>
      <c r="W111" s="213" t="s">
        <v>3361</v>
      </c>
      <c r="X111" s="213" t="s">
        <v>3445</v>
      </c>
      <c r="Y111" s="213" t="s">
        <v>4999</v>
      </c>
      <c r="Z111" s="213" t="s">
        <v>3634</v>
      </c>
      <c r="AA111" s="213">
        <v>55</v>
      </c>
      <c r="AB111" s="213">
        <v>65</v>
      </c>
      <c r="AC111" s="207" t="s">
        <v>4530</v>
      </c>
      <c r="AD111"/>
      <c r="AE111" s="206"/>
      <c r="AF111" s="94"/>
      <c r="AG111" s="94"/>
      <c r="AH111" s="94"/>
      <c r="AI111" s="94"/>
      <c r="AJ111" s="94"/>
      <c r="AK111" s="94"/>
      <c r="AL111" s="94"/>
      <c r="AM111" s="254"/>
      <c r="AN111" s="254"/>
      <c r="AO111" s="94"/>
      <c r="AP111" s="94"/>
      <c r="AQ111" s="94"/>
      <c r="AR111" s="94"/>
      <c r="AS111" s="207"/>
      <c r="BF111" s="219" t="s">
        <v>3223</v>
      </c>
      <c r="BG111" s="18" t="s">
        <v>563</v>
      </c>
      <c r="BH111" s="105">
        <v>1411</v>
      </c>
      <c r="BI111" s="19" t="s">
        <v>544</v>
      </c>
      <c r="BJ111" s="19" t="s">
        <v>544</v>
      </c>
      <c r="BK111" s="19" t="s">
        <v>4573</v>
      </c>
      <c r="BL111" s="220"/>
      <c r="BM111" s="19"/>
      <c r="BN111" s="19"/>
      <c r="BO111" s="12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</row>
    <row r="112" spans="13:79" ht="18">
      <c r="M112" s="104"/>
      <c r="O112" s="206" t="s">
        <v>3791</v>
      </c>
      <c r="P112" s="94" t="s">
        <v>732</v>
      </c>
      <c r="Q112" s="180">
        <v>141199</v>
      </c>
      <c r="R112" s="258">
        <v>1600</v>
      </c>
      <c r="S112" s="259">
        <v>65</v>
      </c>
      <c r="T112" s="213" t="s">
        <v>4997</v>
      </c>
      <c r="U112" s="213">
        <v>3</v>
      </c>
      <c r="V112" s="213" t="s">
        <v>3439</v>
      </c>
      <c r="W112" s="213" t="s">
        <v>3361</v>
      </c>
      <c r="X112" s="213" t="s">
        <v>3445</v>
      </c>
      <c r="Y112" s="213" t="s">
        <v>4996</v>
      </c>
      <c r="Z112" s="213" t="s">
        <v>3634</v>
      </c>
      <c r="AA112" s="213">
        <v>55</v>
      </c>
      <c r="AB112" s="213">
        <v>65</v>
      </c>
      <c r="AC112" s="207" t="s">
        <v>4530</v>
      </c>
      <c r="AD112"/>
      <c r="AE112" s="206"/>
      <c r="AF112" s="94"/>
      <c r="AG112" s="94"/>
      <c r="AH112" s="94"/>
      <c r="AI112" s="94"/>
      <c r="AJ112" s="94"/>
      <c r="AK112" s="94"/>
      <c r="AL112" s="94"/>
      <c r="AM112" s="254"/>
      <c r="AN112" s="254"/>
      <c r="AO112" s="94"/>
      <c r="AP112" s="94"/>
      <c r="AQ112" s="94"/>
      <c r="AR112" s="94"/>
      <c r="AS112" s="207"/>
      <c r="BF112" s="219" t="s">
        <v>3224</v>
      </c>
      <c r="BG112" s="18" t="s">
        <v>564</v>
      </c>
      <c r="BH112" s="105">
        <v>1411</v>
      </c>
      <c r="BI112" s="19" t="s">
        <v>544</v>
      </c>
      <c r="BJ112" s="19" t="s">
        <v>544</v>
      </c>
      <c r="BK112" s="19" t="s">
        <v>4574</v>
      </c>
      <c r="BL112" s="220"/>
      <c r="BM112" s="19"/>
      <c r="BN112" s="19"/>
      <c r="BO112" s="12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</row>
    <row r="113" spans="13:79" ht="18">
      <c r="M113" s="104"/>
      <c r="O113" s="206" t="s">
        <v>3794</v>
      </c>
      <c r="P113" s="94" t="s">
        <v>735</v>
      </c>
      <c r="Q113" s="180">
        <v>160460</v>
      </c>
      <c r="R113" s="258">
        <v>1600</v>
      </c>
      <c r="S113" s="259" t="s">
        <v>5004</v>
      </c>
      <c r="T113" s="213" t="s">
        <v>4997</v>
      </c>
      <c r="U113" s="213">
        <v>3</v>
      </c>
      <c r="V113" s="213" t="s">
        <v>3439</v>
      </c>
      <c r="W113" s="213" t="s">
        <v>3361</v>
      </c>
      <c r="X113" s="213" t="s">
        <v>3441</v>
      </c>
      <c r="Y113" s="213" t="s">
        <v>4995</v>
      </c>
      <c r="Z113" s="213" t="s">
        <v>3650</v>
      </c>
      <c r="AA113" s="213">
        <v>10</v>
      </c>
      <c r="AB113" s="213">
        <v>130</v>
      </c>
      <c r="AC113" s="207" t="s">
        <v>3651</v>
      </c>
      <c r="AD113"/>
      <c r="AE113" s="206"/>
      <c r="AF113" s="94"/>
      <c r="AG113" s="94"/>
      <c r="AH113" s="94"/>
      <c r="AI113" s="94"/>
      <c r="AJ113" s="94"/>
      <c r="AK113" s="94"/>
      <c r="AL113" s="94"/>
      <c r="AM113" s="254"/>
      <c r="AN113" s="254"/>
      <c r="AO113" s="94"/>
      <c r="AP113" s="94"/>
      <c r="AQ113" s="94"/>
      <c r="AR113" s="94"/>
      <c r="AS113" s="207"/>
      <c r="BF113" s="219" t="s">
        <v>3225</v>
      </c>
      <c r="BG113" s="18" t="s">
        <v>565</v>
      </c>
      <c r="BH113" s="105">
        <v>1235</v>
      </c>
      <c r="BI113" s="19" t="s">
        <v>566</v>
      </c>
      <c r="BJ113" s="19" t="s">
        <v>566</v>
      </c>
      <c r="BK113" s="19" t="s">
        <v>4599</v>
      </c>
      <c r="BL113" s="220"/>
      <c r="BM113" s="19"/>
      <c r="BN113" s="19"/>
      <c r="BO113" s="12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</row>
    <row r="114" spans="13:79" ht="18">
      <c r="M114" s="104"/>
      <c r="O114" s="206" t="s">
        <v>3797</v>
      </c>
      <c r="P114" s="94" t="s">
        <v>738</v>
      </c>
      <c r="Q114" s="180">
        <v>173307</v>
      </c>
      <c r="R114" s="258">
        <v>1600</v>
      </c>
      <c r="S114" s="259" t="s">
        <v>5004</v>
      </c>
      <c r="T114" s="213" t="s">
        <v>4997</v>
      </c>
      <c r="U114" s="213">
        <v>3</v>
      </c>
      <c r="V114" s="213" t="s">
        <v>3439</v>
      </c>
      <c r="W114" s="213" t="s">
        <v>3361</v>
      </c>
      <c r="X114" s="213" t="s">
        <v>3441</v>
      </c>
      <c r="Y114" s="213" t="s">
        <v>4999</v>
      </c>
      <c r="Z114" s="213" t="s">
        <v>3650</v>
      </c>
      <c r="AA114" s="213">
        <v>10</v>
      </c>
      <c r="AB114" s="213">
        <v>130</v>
      </c>
      <c r="AC114" s="207" t="s">
        <v>3651</v>
      </c>
      <c r="AD114"/>
      <c r="AE114" s="206"/>
      <c r="AF114" s="94"/>
      <c r="AG114" s="94"/>
      <c r="AH114" s="94"/>
      <c r="AI114" s="94"/>
      <c r="AJ114" s="94"/>
      <c r="AK114" s="94"/>
      <c r="AL114" s="94"/>
      <c r="AM114" s="254"/>
      <c r="AN114" s="254"/>
      <c r="AO114" s="94"/>
      <c r="AP114" s="94"/>
      <c r="AQ114" s="94"/>
      <c r="AR114" s="94"/>
      <c r="AS114" s="207"/>
      <c r="BF114" s="219" t="s">
        <v>3226</v>
      </c>
      <c r="BG114" s="18" t="s">
        <v>567</v>
      </c>
      <c r="BH114" s="105">
        <v>1903</v>
      </c>
      <c r="BI114" s="19" t="s">
        <v>544</v>
      </c>
      <c r="BJ114" s="19" t="s">
        <v>544</v>
      </c>
      <c r="BK114" s="19" t="s">
        <v>4575</v>
      </c>
      <c r="BL114" s="220"/>
      <c r="BM114" s="19"/>
      <c r="BN114" s="19"/>
      <c r="BO114" s="12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</row>
    <row r="115" spans="13:79" ht="18">
      <c r="M115" s="104"/>
      <c r="O115" s="206" t="s">
        <v>3800</v>
      </c>
      <c r="P115" s="94" t="s">
        <v>741</v>
      </c>
      <c r="Q115" s="180">
        <v>166090</v>
      </c>
      <c r="R115" s="258">
        <v>1600</v>
      </c>
      <c r="S115" s="259" t="s">
        <v>5004</v>
      </c>
      <c r="T115" s="213" t="s">
        <v>4997</v>
      </c>
      <c r="U115" s="213">
        <v>3</v>
      </c>
      <c r="V115" s="213" t="s">
        <v>3439</v>
      </c>
      <c r="W115" s="213" t="s">
        <v>3361</v>
      </c>
      <c r="X115" s="213" t="s">
        <v>3441</v>
      </c>
      <c r="Y115" s="213" t="s">
        <v>4996</v>
      </c>
      <c r="Z115" s="213" t="s">
        <v>3650</v>
      </c>
      <c r="AA115" s="213">
        <v>10</v>
      </c>
      <c r="AB115" s="213">
        <v>130</v>
      </c>
      <c r="AC115" s="207" t="s">
        <v>3651</v>
      </c>
      <c r="AD115"/>
      <c r="AE115" s="206"/>
      <c r="AF115" s="94"/>
      <c r="AG115" s="94"/>
      <c r="AH115" s="94"/>
      <c r="AI115" s="94"/>
      <c r="AJ115" s="94"/>
      <c r="AK115" s="94"/>
      <c r="AL115" s="94"/>
      <c r="AM115" s="254"/>
      <c r="AN115" s="254"/>
      <c r="AO115" s="94"/>
      <c r="AP115" s="94"/>
      <c r="AQ115" s="94"/>
      <c r="AR115" s="94"/>
      <c r="AS115" s="207"/>
      <c r="BF115" s="219" t="s">
        <v>3227</v>
      </c>
      <c r="BG115" s="18" t="s">
        <v>568</v>
      </c>
      <c r="BH115" s="105">
        <v>1903</v>
      </c>
      <c r="BI115" s="19" t="s">
        <v>544</v>
      </c>
      <c r="BJ115" s="19" t="s">
        <v>544</v>
      </c>
      <c r="BK115" s="19" t="s">
        <v>4576</v>
      </c>
      <c r="BL115" s="220"/>
      <c r="BM115" s="19"/>
      <c r="BN115" s="19"/>
      <c r="BO115" s="12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</row>
    <row r="116" spans="13:79" ht="18">
      <c r="M116" s="104"/>
      <c r="O116" s="206" t="s">
        <v>3803</v>
      </c>
      <c r="P116" s="94" t="s">
        <v>744</v>
      </c>
      <c r="Q116" s="180">
        <v>197516</v>
      </c>
      <c r="R116" s="258">
        <v>1600</v>
      </c>
      <c r="S116" s="259" t="s">
        <v>5004</v>
      </c>
      <c r="T116" s="213" t="s">
        <v>4997</v>
      </c>
      <c r="U116" s="213">
        <v>3</v>
      </c>
      <c r="V116" s="213" t="s">
        <v>3439</v>
      </c>
      <c r="W116" s="213" t="s">
        <v>3361</v>
      </c>
      <c r="X116" s="213" t="s">
        <v>3445</v>
      </c>
      <c r="Y116" s="213" t="s">
        <v>4999</v>
      </c>
      <c r="Z116" s="213" t="s">
        <v>3650</v>
      </c>
      <c r="AA116" s="213">
        <v>10</v>
      </c>
      <c r="AB116" s="213">
        <v>130</v>
      </c>
      <c r="AC116" s="207" t="s">
        <v>3651</v>
      </c>
      <c r="AD116"/>
      <c r="AE116" s="206"/>
      <c r="AF116" s="94"/>
      <c r="AG116" s="94"/>
      <c r="AH116" s="94"/>
      <c r="AI116" s="94"/>
      <c r="AJ116" s="94"/>
      <c r="AK116" s="94"/>
      <c r="AL116" s="94"/>
      <c r="AM116" s="254"/>
      <c r="AN116" s="254"/>
      <c r="AO116" s="94"/>
      <c r="AP116" s="94"/>
      <c r="AQ116" s="94"/>
      <c r="AR116" s="94"/>
      <c r="AS116" s="207"/>
      <c r="BF116" s="219" t="s">
        <v>3228</v>
      </c>
      <c r="BG116" s="18" t="s">
        <v>569</v>
      </c>
      <c r="BH116" s="105">
        <v>1903</v>
      </c>
      <c r="BI116" s="19" t="s">
        <v>544</v>
      </c>
      <c r="BJ116" s="19" t="s">
        <v>544</v>
      </c>
      <c r="BK116" s="19" t="s">
        <v>4577</v>
      </c>
      <c r="BL116" s="220"/>
      <c r="BM116" s="19"/>
      <c r="BN116" s="19"/>
      <c r="BO116" s="12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</row>
    <row r="117" spans="13:79" ht="18">
      <c r="M117" s="104"/>
      <c r="O117" s="206" t="s">
        <v>3806</v>
      </c>
      <c r="P117" s="94" t="s">
        <v>4489</v>
      </c>
      <c r="Q117" s="180">
        <v>190299</v>
      </c>
      <c r="R117" s="258">
        <v>1600</v>
      </c>
      <c r="S117" s="259" t="s">
        <v>5004</v>
      </c>
      <c r="T117" s="213" t="s">
        <v>4997</v>
      </c>
      <c r="U117" s="213">
        <v>3</v>
      </c>
      <c r="V117" s="213" t="s">
        <v>3439</v>
      </c>
      <c r="W117" s="213" t="s">
        <v>3361</v>
      </c>
      <c r="X117" s="213" t="s">
        <v>3445</v>
      </c>
      <c r="Y117" s="213" t="s">
        <v>4996</v>
      </c>
      <c r="Z117" s="213" t="s">
        <v>3650</v>
      </c>
      <c r="AA117" s="213">
        <v>10</v>
      </c>
      <c r="AB117" s="213">
        <v>130</v>
      </c>
      <c r="AC117" s="207" t="s">
        <v>3651</v>
      </c>
      <c r="AD117"/>
      <c r="AE117" s="206"/>
      <c r="AF117" s="94"/>
      <c r="AG117" s="94"/>
      <c r="AH117" s="94"/>
      <c r="AI117" s="94"/>
      <c r="AJ117" s="94"/>
      <c r="AK117" s="94"/>
      <c r="AL117" s="94"/>
      <c r="AM117" s="254"/>
      <c r="AN117" s="254"/>
      <c r="AO117" s="94"/>
      <c r="AP117" s="94"/>
      <c r="AQ117" s="94"/>
      <c r="AR117" s="94"/>
      <c r="AS117" s="207"/>
      <c r="BF117" s="219" t="s">
        <v>3229</v>
      </c>
      <c r="BG117" s="18" t="s">
        <v>570</v>
      </c>
      <c r="BH117" s="105">
        <v>1903</v>
      </c>
      <c r="BI117" s="19" t="s">
        <v>544</v>
      </c>
      <c r="BJ117" s="19" t="s">
        <v>544</v>
      </c>
      <c r="BK117" s="19" t="s">
        <v>4578</v>
      </c>
      <c r="BL117" s="220"/>
      <c r="BM117" s="19"/>
      <c r="BN117" s="19"/>
      <c r="BO117" s="12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</row>
    <row r="118" spans="13:79" ht="18">
      <c r="M118" s="104"/>
      <c r="O118" s="206" t="s">
        <v>3809</v>
      </c>
      <c r="P118" s="94" t="s">
        <v>4492</v>
      </c>
      <c r="Q118" s="180">
        <v>116242</v>
      </c>
      <c r="R118" s="258">
        <v>2000</v>
      </c>
      <c r="S118" s="259">
        <v>42</v>
      </c>
      <c r="T118" s="213" t="s">
        <v>4997</v>
      </c>
      <c r="U118" s="213">
        <v>3</v>
      </c>
      <c r="V118" s="213" t="s">
        <v>3439</v>
      </c>
      <c r="W118" s="213" t="s">
        <v>3361</v>
      </c>
      <c r="X118" s="213" t="s">
        <v>3441</v>
      </c>
      <c r="Y118" s="213" t="s">
        <v>4995</v>
      </c>
      <c r="Z118" s="213" t="s">
        <v>3670</v>
      </c>
      <c r="AA118" s="213">
        <v>42</v>
      </c>
      <c r="AB118" s="213">
        <v>42</v>
      </c>
      <c r="AC118" s="207" t="s">
        <v>4530</v>
      </c>
      <c r="AD118"/>
      <c r="AE118" s="206"/>
      <c r="AF118" s="94"/>
      <c r="AG118" s="94"/>
      <c r="AH118" s="94"/>
      <c r="AI118" s="94"/>
      <c r="AJ118" s="94"/>
      <c r="AK118" s="94"/>
      <c r="AL118" s="94"/>
      <c r="AM118" s="254"/>
      <c r="AN118" s="254"/>
      <c r="AO118" s="94"/>
      <c r="AP118" s="94"/>
      <c r="AQ118" s="94"/>
      <c r="AR118" s="94"/>
      <c r="AS118" s="207"/>
      <c r="BF118" s="219" t="s">
        <v>3230</v>
      </c>
      <c r="BG118" s="18" t="s">
        <v>571</v>
      </c>
      <c r="BH118" s="105">
        <v>1903</v>
      </c>
      <c r="BI118" s="19" t="s">
        <v>544</v>
      </c>
      <c r="BJ118" s="19" t="s">
        <v>544</v>
      </c>
      <c r="BK118" s="19" t="s">
        <v>2207</v>
      </c>
      <c r="BL118" s="220"/>
      <c r="BM118" s="19"/>
      <c r="BN118" s="19"/>
      <c r="BO118" s="12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</row>
    <row r="119" spans="13:79" ht="18">
      <c r="M119" s="104"/>
      <c r="O119" s="206" t="s">
        <v>3812</v>
      </c>
      <c r="P119" s="94" t="s">
        <v>4483</v>
      </c>
      <c r="Q119" s="180">
        <v>129089</v>
      </c>
      <c r="R119" s="258">
        <v>2000</v>
      </c>
      <c r="S119" s="259">
        <v>42</v>
      </c>
      <c r="T119" s="213" t="s">
        <v>4997</v>
      </c>
      <c r="U119" s="213">
        <v>3</v>
      </c>
      <c r="V119" s="213" t="s">
        <v>3439</v>
      </c>
      <c r="W119" s="213" t="s">
        <v>3361</v>
      </c>
      <c r="X119" s="213" t="s">
        <v>3441</v>
      </c>
      <c r="Y119" s="213" t="s">
        <v>4999</v>
      </c>
      <c r="Z119" s="213" t="s">
        <v>3670</v>
      </c>
      <c r="AA119" s="213">
        <v>42</v>
      </c>
      <c r="AB119" s="213">
        <v>42</v>
      </c>
      <c r="AC119" s="207" t="s">
        <v>4530</v>
      </c>
      <c r="AD119"/>
      <c r="AE119" s="206"/>
      <c r="AF119" s="94"/>
      <c r="AG119" s="94"/>
      <c r="AH119" s="94"/>
      <c r="AI119" s="94"/>
      <c r="AJ119" s="94"/>
      <c r="AK119" s="94"/>
      <c r="AL119" s="94"/>
      <c r="AM119" s="254"/>
      <c r="AN119" s="254"/>
      <c r="AO119" s="94"/>
      <c r="AP119" s="94"/>
      <c r="AQ119" s="94"/>
      <c r="AR119" s="94"/>
      <c r="AS119" s="207"/>
      <c r="BF119" s="219" t="s">
        <v>3231</v>
      </c>
      <c r="BG119" s="18" t="s">
        <v>572</v>
      </c>
      <c r="BH119" s="105">
        <v>1361</v>
      </c>
      <c r="BI119" s="19" t="s">
        <v>544</v>
      </c>
      <c r="BJ119" s="19" t="s">
        <v>544</v>
      </c>
      <c r="BK119" s="19" t="s">
        <v>2208</v>
      </c>
      <c r="BL119" s="220"/>
      <c r="BM119" s="19"/>
      <c r="BN119" s="19"/>
      <c r="BO119" s="12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</row>
    <row r="120" spans="13:79" ht="18">
      <c r="M120" s="104"/>
      <c r="O120" s="206" t="s">
        <v>3815</v>
      </c>
      <c r="P120" s="94" t="s">
        <v>4486</v>
      </c>
      <c r="Q120" s="180">
        <v>121871</v>
      </c>
      <c r="R120" s="258">
        <v>2000</v>
      </c>
      <c r="S120" s="259">
        <v>42</v>
      </c>
      <c r="T120" s="213" t="s">
        <v>4997</v>
      </c>
      <c r="U120" s="213">
        <v>3</v>
      </c>
      <c r="V120" s="213" t="s">
        <v>3439</v>
      </c>
      <c r="W120" s="213" t="s">
        <v>3361</v>
      </c>
      <c r="X120" s="213" t="s">
        <v>3441</v>
      </c>
      <c r="Y120" s="213" t="s">
        <v>4996</v>
      </c>
      <c r="Z120" s="213" t="s">
        <v>3670</v>
      </c>
      <c r="AA120" s="213">
        <v>42</v>
      </c>
      <c r="AB120" s="213">
        <v>42</v>
      </c>
      <c r="AC120" s="207" t="s">
        <v>4530</v>
      </c>
      <c r="AD120"/>
      <c r="AE120" s="206"/>
      <c r="AF120" s="94"/>
      <c r="AG120" s="94"/>
      <c r="AH120" s="94"/>
      <c r="AI120" s="94"/>
      <c r="AJ120" s="94"/>
      <c r="AK120" s="94"/>
      <c r="AL120" s="94"/>
      <c r="AM120" s="254"/>
      <c r="AN120" s="254"/>
      <c r="AO120" s="94"/>
      <c r="AP120" s="94"/>
      <c r="AQ120" s="94"/>
      <c r="AR120" s="94"/>
      <c r="AS120" s="207"/>
      <c r="BF120" s="219" t="s">
        <v>3232</v>
      </c>
      <c r="BG120" s="18" t="s">
        <v>2244</v>
      </c>
      <c r="BH120" s="105">
        <v>417</v>
      </c>
      <c r="BI120" s="19" t="s">
        <v>544</v>
      </c>
      <c r="BJ120" s="19" t="s">
        <v>544</v>
      </c>
      <c r="BK120" s="19" t="s">
        <v>4597</v>
      </c>
      <c r="BL120" s="220"/>
      <c r="BM120" s="19"/>
      <c r="BN120" s="19"/>
      <c r="BO120" s="12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</row>
    <row r="121" spans="13:79" ht="18">
      <c r="M121" s="104"/>
      <c r="O121" s="206" t="s">
        <v>3818</v>
      </c>
      <c r="P121" s="94" t="s">
        <v>4904</v>
      </c>
      <c r="Q121" s="180">
        <v>153298</v>
      </c>
      <c r="R121" s="258">
        <v>2000</v>
      </c>
      <c r="S121" s="259">
        <v>42</v>
      </c>
      <c r="T121" s="213" t="s">
        <v>4997</v>
      </c>
      <c r="U121" s="213">
        <v>3</v>
      </c>
      <c r="V121" s="213" t="s">
        <v>3439</v>
      </c>
      <c r="W121" s="213" t="s">
        <v>3361</v>
      </c>
      <c r="X121" s="213" t="s">
        <v>3445</v>
      </c>
      <c r="Y121" s="213" t="s">
        <v>4999</v>
      </c>
      <c r="Z121" s="213" t="s">
        <v>3670</v>
      </c>
      <c r="AA121" s="213">
        <v>42</v>
      </c>
      <c r="AB121" s="213">
        <v>42</v>
      </c>
      <c r="AC121" s="207" t="s">
        <v>4530</v>
      </c>
      <c r="AD121"/>
      <c r="AE121" s="206"/>
      <c r="AF121" s="94"/>
      <c r="AG121" s="94"/>
      <c r="AH121" s="94"/>
      <c r="AI121" s="94"/>
      <c r="AJ121" s="94"/>
      <c r="AK121" s="94"/>
      <c r="AL121" s="94"/>
      <c r="AM121" s="254"/>
      <c r="AN121" s="254"/>
      <c r="AO121" s="94"/>
      <c r="AP121" s="94"/>
      <c r="AQ121" s="94"/>
      <c r="AR121" s="94"/>
      <c r="AS121" s="207"/>
      <c r="BF121" s="219" t="s">
        <v>3233</v>
      </c>
      <c r="BG121" s="18" t="s">
        <v>439</v>
      </c>
      <c r="BH121" s="105">
        <v>8331</v>
      </c>
      <c r="BI121" s="19" t="s">
        <v>544</v>
      </c>
      <c r="BJ121" s="19" t="s">
        <v>544</v>
      </c>
      <c r="BK121" s="19" t="s">
        <v>2209</v>
      </c>
      <c r="BL121" s="220"/>
      <c r="BM121" s="19"/>
      <c r="BN121" s="19"/>
      <c r="BO121" s="12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</row>
    <row r="122" spans="13:79" ht="18">
      <c r="M122" s="104"/>
      <c r="O122" s="206" t="s">
        <v>3821</v>
      </c>
      <c r="P122" s="94" t="s">
        <v>1748</v>
      </c>
      <c r="Q122" s="180">
        <v>146080</v>
      </c>
      <c r="R122" s="258">
        <v>2000</v>
      </c>
      <c r="S122" s="259">
        <v>42</v>
      </c>
      <c r="T122" s="213" t="s">
        <v>4997</v>
      </c>
      <c r="U122" s="213">
        <v>3</v>
      </c>
      <c r="V122" s="213" t="s">
        <v>3439</v>
      </c>
      <c r="W122" s="213" t="s">
        <v>3361</v>
      </c>
      <c r="X122" s="213" t="s">
        <v>3445</v>
      </c>
      <c r="Y122" s="213" t="s">
        <v>4996</v>
      </c>
      <c r="Z122" s="213" t="s">
        <v>3670</v>
      </c>
      <c r="AA122" s="213">
        <v>42</v>
      </c>
      <c r="AB122" s="213">
        <v>42</v>
      </c>
      <c r="AC122" s="207" t="s">
        <v>4530</v>
      </c>
      <c r="AD122"/>
      <c r="AE122" s="206"/>
      <c r="AF122" s="94"/>
      <c r="AG122" s="94"/>
      <c r="AH122" s="94"/>
      <c r="AI122" s="94"/>
      <c r="AJ122" s="94"/>
      <c r="AK122" s="94"/>
      <c r="AL122" s="94"/>
      <c r="AM122" s="254"/>
      <c r="AN122" s="254"/>
      <c r="AO122" s="94"/>
      <c r="AP122" s="94"/>
      <c r="AQ122" s="94"/>
      <c r="AR122" s="94"/>
      <c r="AS122" s="207"/>
      <c r="BF122" s="219" t="s">
        <v>3234</v>
      </c>
      <c r="BG122" s="18" t="s">
        <v>2243</v>
      </c>
      <c r="BH122" s="105">
        <v>443</v>
      </c>
      <c r="BI122" s="19" t="s">
        <v>544</v>
      </c>
      <c r="BJ122" s="19" t="s">
        <v>544</v>
      </c>
      <c r="BK122" s="19" t="s">
        <v>4598</v>
      </c>
      <c r="BL122" s="220"/>
      <c r="BM122" s="19"/>
      <c r="BN122" s="19"/>
      <c r="BO122" s="12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</row>
    <row r="123" spans="13:79" ht="18">
      <c r="M123" s="104"/>
      <c r="O123" s="206" t="s">
        <v>581</v>
      </c>
      <c r="P123" s="94" t="s">
        <v>3453</v>
      </c>
      <c r="Q123" s="180">
        <v>115533</v>
      </c>
      <c r="R123" s="258">
        <v>2000</v>
      </c>
      <c r="S123" s="259">
        <v>65</v>
      </c>
      <c r="T123" s="213" t="s">
        <v>4997</v>
      </c>
      <c r="U123" s="213">
        <v>3</v>
      </c>
      <c r="V123" s="213" t="s">
        <v>3439</v>
      </c>
      <c r="W123" s="213" t="s">
        <v>3361</v>
      </c>
      <c r="X123" s="213" t="s">
        <v>3441</v>
      </c>
      <c r="Y123" s="213" t="s">
        <v>4995</v>
      </c>
      <c r="Z123" s="213" t="s">
        <v>3634</v>
      </c>
      <c r="AA123" s="213">
        <v>55</v>
      </c>
      <c r="AB123" s="213">
        <v>65</v>
      </c>
      <c r="AC123" s="207" t="s">
        <v>4530</v>
      </c>
      <c r="AD123"/>
      <c r="AE123" s="206"/>
      <c r="AF123" s="94"/>
      <c r="AG123" s="94"/>
      <c r="AH123" s="94"/>
      <c r="AI123" s="94"/>
      <c r="AJ123" s="94"/>
      <c r="AK123" s="94"/>
      <c r="AL123" s="94"/>
      <c r="AM123" s="254"/>
      <c r="AN123" s="254"/>
      <c r="AO123" s="94"/>
      <c r="AP123" s="94"/>
      <c r="AQ123" s="94"/>
      <c r="AR123" s="94"/>
      <c r="AS123" s="207"/>
      <c r="BF123" s="221" t="s">
        <v>3235</v>
      </c>
      <c r="BG123" s="98" t="s">
        <v>573</v>
      </c>
      <c r="BH123" s="222">
        <v>6140</v>
      </c>
      <c r="BI123" s="97" t="s">
        <v>544</v>
      </c>
      <c r="BJ123" s="97" t="s">
        <v>544</v>
      </c>
      <c r="BK123" s="97"/>
      <c r="BL123" s="223"/>
      <c r="BM123" s="19"/>
      <c r="BN123" s="19"/>
      <c r="BO123" s="12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</row>
    <row r="124" spans="13:63" ht="12.75">
      <c r="M124" s="104"/>
      <c r="O124" s="206" t="s">
        <v>584</v>
      </c>
      <c r="P124" s="94" t="s">
        <v>4951</v>
      </c>
      <c r="Q124" s="180">
        <v>128380</v>
      </c>
      <c r="R124" s="258">
        <v>2000</v>
      </c>
      <c r="S124" s="259">
        <v>65</v>
      </c>
      <c r="T124" s="213" t="s">
        <v>4997</v>
      </c>
      <c r="U124" s="213">
        <v>3</v>
      </c>
      <c r="V124" s="213" t="s">
        <v>3439</v>
      </c>
      <c r="W124" s="213" t="s">
        <v>3361</v>
      </c>
      <c r="X124" s="213" t="s">
        <v>3441</v>
      </c>
      <c r="Y124" s="213" t="s">
        <v>4999</v>
      </c>
      <c r="Z124" s="213" t="s">
        <v>3634</v>
      </c>
      <c r="AA124" s="213">
        <v>55</v>
      </c>
      <c r="AB124" s="213">
        <v>65</v>
      </c>
      <c r="AC124" s="207" t="s">
        <v>4530</v>
      </c>
      <c r="AD124"/>
      <c r="AE124" s="206"/>
      <c r="AF124" s="94"/>
      <c r="AG124" s="94"/>
      <c r="AH124" s="94"/>
      <c r="AI124" s="94"/>
      <c r="AJ124" s="94"/>
      <c r="AK124" s="94"/>
      <c r="AL124" s="94"/>
      <c r="AM124" s="254"/>
      <c r="AN124" s="254"/>
      <c r="AO124" s="94"/>
      <c r="AP124" s="94"/>
      <c r="AQ124" s="94"/>
      <c r="AR124" s="94"/>
      <c r="AS124" s="207"/>
      <c r="BF124" s="94" t="s">
        <v>822</v>
      </c>
      <c r="BG124" s="18" t="s">
        <v>1362</v>
      </c>
      <c r="BH124" s="105">
        <v>5441</v>
      </c>
      <c r="BK124" s="2" t="s">
        <v>2944</v>
      </c>
    </row>
    <row r="125" spans="13:63" ht="12.75">
      <c r="M125" s="104"/>
      <c r="O125" s="206" t="s">
        <v>587</v>
      </c>
      <c r="P125" s="94" t="s">
        <v>3495</v>
      </c>
      <c r="Q125" s="180">
        <v>121164</v>
      </c>
      <c r="R125" s="258">
        <v>2000</v>
      </c>
      <c r="S125" s="259">
        <v>65</v>
      </c>
      <c r="T125" s="213" t="s">
        <v>4997</v>
      </c>
      <c r="U125" s="213">
        <v>3</v>
      </c>
      <c r="V125" s="213" t="s">
        <v>3439</v>
      </c>
      <c r="W125" s="213" t="s">
        <v>3361</v>
      </c>
      <c r="X125" s="213" t="s">
        <v>3441</v>
      </c>
      <c r="Y125" s="213" t="s">
        <v>4996</v>
      </c>
      <c r="Z125" s="213" t="s">
        <v>3634</v>
      </c>
      <c r="AA125" s="213">
        <v>55</v>
      </c>
      <c r="AB125" s="213">
        <v>65</v>
      </c>
      <c r="AC125" s="207" t="s">
        <v>4530</v>
      </c>
      <c r="AD125"/>
      <c r="AE125" s="206"/>
      <c r="AF125" s="94"/>
      <c r="AG125" s="94"/>
      <c r="AH125" s="94"/>
      <c r="AI125" s="94"/>
      <c r="AJ125" s="94"/>
      <c r="AK125" s="94"/>
      <c r="AL125" s="94"/>
      <c r="AM125" s="254"/>
      <c r="AN125" s="254"/>
      <c r="AO125" s="94"/>
      <c r="AP125" s="94"/>
      <c r="AQ125" s="94"/>
      <c r="AR125" s="94"/>
      <c r="AS125" s="207"/>
      <c r="BF125" s="94" t="s">
        <v>826</v>
      </c>
      <c r="BG125" s="18" t="s">
        <v>1367</v>
      </c>
      <c r="BH125" s="105">
        <v>3023</v>
      </c>
      <c r="BK125" s="2">
        <v>1</v>
      </c>
    </row>
    <row r="126" spans="13:63" ht="12.75">
      <c r="M126" s="104"/>
      <c r="O126" s="206" t="s">
        <v>590</v>
      </c>
      <c r="P126" s="94" t="s">
        <v>3498</v>
      </c>
      <c r="Q126" s="180">
        <v>152589</v>
      </c>
      <c r="R126" s="258">
        <v>2000</v>
      </c>
      <c r="S126" s="259">
        <v>65</v>
      </c>
      <c r="T126" s="213" t="s">
        <v>4997</v>
      </c>
      <c r="U126" s="213">
        <v>3</v>
      </c>
      <c r="V126" s="213" t="s">
        <v>3439</v>
      </c>
      <c r="W126" s="213" t="s">
        <v>3361</v>
      </c>
      <c r="X126" s="213" t="s">
        <v>3445</v>
      </c>
      <c r="Y126" s="213" t="s">
        <v>4999</v>
      </c>
      <c r="Z126" s="213" t="s">
        <v>3634</v>
      </c>
      <c r="AA126" s="213">
        <v>55</v>
      </c>
      <c r="AB126" s="213">
        <v>65</v>
      </c>
      <c r="AC126" s="207" t="s">
        <v>4530</v>
      </c>
      <c r="AD126"/>
      <c r="AE126" s="206"/>
      <c r="AF126" s="94"/>
      <c r="AG126" s="94"/>
      <c r="AH126" s="94"/>
      <c r="AI126" s="94"/>
      <c r="AJ126" s="94"/>
      <c r="AK126" s="94"/>
      <c r="AL126" s="94"/>
      <c r="AM126" s="254"/>
      <c r="AN126" s="254"/>
      <c r="AO126" s="94"/>
      <c r="AP126" s="94"/>
      <c r="AQ126" s="94"/>
      <c r="AR126" s="94"/>
      <c r="AS126" s="207"/>
      <c r="BF126" s="94" t="s">
        <v>827</v>
      </c>
      <c r="BG126" s="18" t="s">
        <v>1368</v>
      </c>
      <c r="BH126" s="105">
        <v>3023</v>
      </c>
      <c r="BK126" s="2">
        <v>2</v>
      </c>
    </row>
    <row r="127" spans="13:63" ht="12.75">
      <c r="M127" s="104"/>
      <c r="O127" s="206" t="s">
        <v>593</v>
      </c>
      <c r="P127" s="94" t="s">
        <v>3501</v>
      </c>
      <c r="Q127" s="180">
        <v>145373</v>
      </c>
      <c r="R127" s="258">
        <v>2000</v>
      </c>
      <c r="S127" s="259">
        <v>65</v>
      </c>
      <c r="T127" s="213" t="s">
        <v>4997</v>
      </c>
      <c r="U127" s="213">
        <v>3</v>
      </c>
      <c r="V127" s="213" t="s">
        <v>3439</v>
      </c>
      <c r="W127" s="213" t="s">
        <v>3361</v>
      </c>
      <c r="X127" s="213" t="s">
        <v>3445</v>
      </c>
      <c r="Y127" s="213" t="s">
        <v>4996</v>
      </c>
      <c r="Z127" s="213" t="s">
        <v>3634</v>
      </c>
      <c r="AA127" s="213">
        <v>55</v>
      </c>
      <c r="AB127" s="213">
        <v>65</v>
      </c>
      <c r="AC127" s="207" t="s">
        <v>4530</v>
      </c>
      <c r="AD127"/>
      <c r="AE127" s="206"/>
      <c r="AF127" s="94"/>
      <c r="AG127" s="94"/>
      <c r="AH127" s="94"/>
      <c r="AI127" s="94"/>
      <c r="AJ127" s="94"/>
      <c r="AK127" s="94"/>
      <c r="AL127" s="94"/>
      <c r="AM127" s="254"/>
      <c r="AN127" s="254"/>
      <c r="AO127" s="94"/>
      <c r="AP127" s="94"/>
      <c r="AQ127" s="94"/>
      <c r="AR127" s="94"/>
      <c r="AS127" s="207"/>
      <c r="BF127" s="94" t="s">
        <v>828</v>
      </c>
      <c r="BG127" s="18" t="s">
        <v>1369</v>
      </c>
      <c r="BH127" s="105">
        <v>3023</v>
      </c>
      <c r="BK127" s="2">
        <v>3</v>
      </c>
    </row>
    <row r="128" spans="13:63" ht="12.75">
      <c r="M128" s="104"/>
      <c r="O128" s="206" t="s">
        <v>595</v>
      </c>
      <c r="P128" s="94" t="s">
        <v>3503</v>
      </c>
      <c r="Q128" s="180">
        <v>95111</v>
      </c>
      <c r="R128" s="258">
        <v>1250</v>
      </c>
      <c r="S128" s="259">
        <v>65</v>
      </c>
      <c r="T128" s="213" t="s">
        <v>4997</v>
      </c>
      <c r="U128" s="213">
        <v>3</v>
      </c>
      <c r="V128" s="213" t="s">
        <v>3443</v>
      </c>
      <c r="W128" s="213" t="s">
        <v>3572</v>
      </c>
      <c r="X128" s="213" t="s">
        <v>3441</v>
      </c>
      <c r="Y128" s="213" t="s">
        <v>4995</v>
      </c>
      <c r="Z128" s="213" t="s">
        <v>3634</v>
      </c>
      <c r="AA128" s="213">
        <v>55</v>
      </c>
      <c r="AB128" s="213">
        <v>65</v>
      </c>
      <c r="AC128" s="207" t="s">
        <v>4530</v>
      </c>
      <c r="AD128"/>
      <c r="AE128" s="206"/>
      <c r="AF128" s="94"/>
      <c r="AG128" s="94"/>
      <c r="AH128" s="94"/>
      <c r="AI128" s="94"/>
      <c r="AJ128" s="94"/>
      <c r="AK128" s="94"/>
      <c r="AL128" s="94"/>
      <c r="AM128" s="254"/>
      <c r="AN128" s="254"/>
      <c r="AO128" s="94"/>
      <c r="AP128" s="94"/>
      <c r="AQ128" s="94"/>
      <c r="AR128" s="94"/>
      <c r="AS128" s="207"/>
      <c r="BF128" s="94" t="s">
        <v>831</v>
      </c>
      <c r="BG128" s="18" t="s">
        <v>3394</v>
      </c>
      <c r="BH128" s="105">
        <v>3023</v>
      </c>
      <c r="BK128" s="2">
        <v>4</v>
      </c>
    </row>
    <row r="129" spans="13:63" ht="12.75">
      <c r="M129" s="104"/>
      <c r="O129" s="206" t="s">
        <v>596</v>
      </c>
      <c r="P129" s="94" t="s">
        <v>4171</v>
      </c>
      <c r="Q129" s="180">
        <v>107961</v>
      </c>
      <c r="R129" s="258">
        <v>1250</v>
      </c>
      <c r="S129" s="259">
        <v>65</v>
      </c>
      <c r="T129" s="213" t="s">
        <v>4997</v>
      </c>
      <c r="U129" s="213">
        <v>3</v>
      </c>
      <c r="V129" s="213" t="s">
        <v>3443</v>
      </c>
      <c r="W129" s="213" t="s">
        <v>3572</v>
      </c>
      <c r="X129" s="213" t="s">
        <v>3441</v>
      </c>
      <c r="Y129" s="213" t="s">
        <v>4999</v>
      </c>
      <c r="Z129" s="213" t="s">
        <v>3634</v>
      </c>
      <c r="AA129" s="213">
        <v>55</v>
      </c>
      <c r="AB129" s="213">
        <v>65</v>
      </c>
      <c r="AC129" s="207" t="s">
        <v>4530</v>
      </c>
      <c r="AD129"/>
      <c r="AE129" s="206"/>
      <c r="AF129" s="94"/>
      <c r="AG129" s="94"/>
      <c r="AH129" s="94"/>
      <c r="AI129" s="94"/>
      <c r="AJ129" s="94"/>
      <c r="AK129" s="94"/>
      <c r="AL129" s="94"/>
      <c r="AM129" s="254"/>
      <c r="AN129" s="254"/>
      <c r="AO129" s="94"/>
      <c r="AP129" s="94"/>
      <c r="AQ129" s="94"/>
      <c r="AR129" s="94"/>
      <c r="AS129" s="207"/>
      <c r="BF129" s="94" t="s">
        <v>829</v>
      </c>
      <c r="BG129" s="18" t="s">
        <v>1370</v>
      </c>
      <c r="BH129" s="105">
        <v>3023</v>
      </c>
      <c r="BK129" s="2">
        <v>5</v>
      </c>
    </row>
    <row r="130" spans="13:63" ht="12.75">
      <c r="M130" s="104"/>
      <c r="O130" s="206" t="s">
        <v>597</v>
      </c>
      <c r="P130" s="94" t="s">
        <v>4172</v>
      </c>
      <c r="Q130" s="180">
        <v>100742</v>
      </c>
      <c r="R130" s="258">
        <v>1250</v>
      </c>
      <c r="S130" s="259">
        <v>65</v>
      </c>
      <c r="T130" s="213" t="s">
        <v>4997</v>
      </c>
      <c r="U130" s="213">
        <v>3</v>
      </c>
      <c r="V130" s="213" t="s">
        <v>3443</v>
      </c>
      <c r="W130" s="213" t="s">
        <v>3572</v>
      </c>
      <c r="X130" s="213" t="s">
        <v>3441</v>
      </c>
      <c r="Y130" s="213" t="s">
        <v>4996</v>
      </c>
      <c r="Z130" s="213" t="s">
        <v>3634</v>
      </c>
      <c r="AA130" s="213">
        <v>55</v>
      </c>
      <c r="AB130" s="213">
        <v>65</v>
      </c>
      <c r="AC130" s="207" t="s">
        <v>4530</v>
      </c>
      <c r="AD130"/>
      <c r="AE130" s="206"/>
      <c r="AF130" s="94"/>
      <c r="AG130" s="94"/>
      <c r="AH130" s="94"/>
      <c r="AI130" s="94"/>
      <c r="AJ130" s="94"/>
      <c r="AK130" s="94"/>
      <c r="AL130" s="94"/>
      <c r="AM130" s="254"/>
      <c r="AN130" s="254"/>
      <c r="AO130" s="94"/>
      <c r="AP130" s="94"/>
      <c r="AQ130" s="94"/>
      <c r="AR130" s="94"/>
      <c r="AS130" s="207"/>
      <c r="BF130" s="2" t="s">
        <v>811</v>
      </c>
      <c r="BG130" s="2" t="s">
        <v>4925</v>
      </c>
      <c r="BH130" s="124">
        <v>4408</v>
      </c>
      <c r="BK130" s="2" t="s">
        <v>1112</v>
      </c>
    </row>
    <row r="131" spans="13:63" ht="12.75">
      <c r="M131" s="104"/>
      <c r="O131" s="206" t="s">
        <v>598</v>
      </c>
      <c r="P131" s="94" t="s">
        <v>4173</v>
      </c>
      <c r="Q131" s="180">
        <v>132170</v>
      </c>
      <c r="R131" s="258">
        <v>1250</v>
      </c>
      <c r="S131" s="259">
        <v>65</v>
      </c>
      <c r="T131" s="213" t="s">
        <v>4997</v>
      </c>
      <c r="U131" s="213">
        <v>3</v>
      </c>
      <c r="V131" s="213" t="s">
        <v>3443</v>
      </c>
      <c r="W131" s="213" t="s">
        <v>3572</v>
      </c>
      <c r="X131" s="213" t="s">
        <v>3445</v>
      </c>
      <c r="Y131" s="213" t="s">
        <v>4999</v>
      </c>
      <c r="Z131" s="213" t="s">
        <v>3634</v>
      </c>
      <c r="AA131" s="213">
        <v>55</v>
      </c>
      <c r="AB131" s="213">
        <v>65</v>
      </c>
      <c r="AC131" s="207" t="s">
        <v>4530</v>
      </c>
      <c r="AD131"/>
      <c r="AE131" s="206"/>
      <c r="AF131" s="94"/>
      <c r="AG131" s="94"/>
      <c r="AH131" s="94"/>
      <c r="AI131" s="94"/>
      <c r="AJ131" s="94"/>
      <c r="AK131" s="94"/>
      <c r="AL131" s="94"/>
      <c r="AM131" s="254"/>
      <c r="AN131" s="254"/>
      <c r="AO131" s="94"/>
      <c r="AP131" s="94"/>
      <c r="AQ131" s="94"/>
      <c r="AR131" s="94"/>
      <c r="AS131" s="207"/>
      <c r="BF131" s="2" t="s">
        <v>812</v>
      </c>
      <c r="BG131" s="2" t="s">
        <v>3417</v>
      </c>
      <c r="BH131" s="124">
        <v>7306</v>
      </c>
      <c r="BK131" s="2" t="s">
        <v>1113</v>
      </c>
    </row>
    <row r="132" spans="13:63" ht="12.75">
      <c r="M132" s="104"/>
      <c r="O132" s="206" t="s">
        <v>599</v>
      </c>
      <c r="P132" s="94" t="s">
        <v>472</v>
      </c>
      <c r="Q132" s="180">
        <v>124952</v>
      </c>
      <c r="R132" s="258">
        <v>1250</v>
      </c>
      <c r="S132" s="259">
        <v>65</v>
      </c>
      <c r="T132" s="213" t="s">
        <v>4997</v>
      </c>
      <c r="U132" s="213">
        <v>3</v>
      </c>
      <c r="V132" s="213" t="s">
        <v>3443</v>
      </c>
      <c r="W132" s="213" t="s">
        <v>3572</v>
      </c>
      <c r="X132" s="213" t="s">
        <v>3445</v>
      </c>
      <c r="Y132" s="213" t="s">
        <v>4996</v>
      </c>
      <c r="Z132" s="213" t="s">
        <v>3634</v>
      </c>
      <c r="AA132" s="213">
        <v>55</v>
      </c>
      <c r="AB132" s="213">
        <v>65</v>
      </c>
      <c r="AC132" s="207" t="s">
        <v>4530</v>
      </c>
      <c r="AD132"/>
      <c r="AE132" s="206"/>
      <c r="AF132" s="94"/>
      <c r="AG132" s="94"/>
      <c r="AH132" s="94"/>
      <c r="AI132" s="94"/>
      <c r="AJ132" s="94"/>
      <c r="AK132" s="94"/>
      <c r="AL132" s="94"/>
      <c r="AM132" s="254"/>
      <c r="AN132" s="254"/>
      <c r="AO132" s="94"/>
      <c r="AP132" s="94"/>
      <c r="AQ132" s="94"/>
      <c r="AR132" s="94"/>
      <c r="AS132" s="207"/>
      <c r="BF132" t="s">
        <v>3749</v>
      </c>
      <c r="BG132" t="s">
        <v>3758</v>
      </c>
      <c r="BH132" s="233">
        <v>4952</v>
      </c>
      <c r="BI132" s="19" t="s">
        <v>3734</v>
      </c>
      <c r="BJ132" s="247">
        <v>24</v>
      </c>
      <c r="BK132" s="19" t="s">
        <v>3386</v>
      </c>
    </row>
    <row r="133" spans="13:63" ht="12.75">
      <c r="M133" s="104"/>
      <c r="O133" s="206" t="s">
        <v>600</v>
      </c>
      <c r="P133" s="94" t="s">
        <v>473</v>
      </c>
      <c r="Q133" s="180">
        <v>129999</v>
      </c>
      <c r="R133" s="258">
        <v>1250</v>
      </c>
      <c r="S133" s="259" t="s">
        <v>5004</v>
      </c>
      <c r="T133" s="213" t="s">
        <v>4997</v>
      </c>
      <c r="U133" s="213">
        <v>3</v>
      </c>
      <c r="V133" s="213" t="s">
        <v>3443</v>
      </c>
      <c r="W133" s="213" t="s">
        <v>3572</v>
      </c>
      <c r="X133" s="213" t="s">
        <v>3441</v>
      </c>
      <c r="Y133" s="213" t="s">
        <v>4995</v>
      </c>
      <c r="Z133" s="213" t="s">
        <v>3650</v>
      </c>
      <c r="AA133" s="213">
        <v>10</v>
      </c>
      <c r="AB133" s="213">
        <v>130</v>
      </c>
      <c r="AC133" s="207" t="s">
        <v>3651</v>
      </c>
      <c r="AD133"/>
      <c r="AE133" s="206"/>
      <c r="AF133" s="94"/>
      <c r="AG133" s="94"/>
      <c r="AH133" s="94"/>
      <c r="AI133" s="94"/>
      <c r="AJ133" s="94"/>
      <c r="AK133" s="94"/>
      <c r="AL133" s="94"/>
      <c r="AM133" s="254"/>
      <c r="AN133" s="254"/>
      <c r="AO133" s="94"/>
      <c r="AP133" s="94"/>
      <c r="AQ133" s="94"/>
      <c r="AR133" s="94"/>
      <c r="AS133" s="207"/>
      <c r="BC133" s="246">
        <f>ROUND(BH133,0)</f>
        <v>3447</v>
      </c>
      <c r="BF133" t="s">
        <v>3750</v>
      </c>
      <c r="BG133" t="s">
        <v>3759</v>
      </c>
      <c r="BH133" s="233">
        <v>3447</v>
      </c>
      <c r="BI133" s="19" t="s">
        <v>494</v>
      </c>
      <c r="BJ133" s="247">
        <v>30</v>
      </c>
      <c r="BK133" s="19" t="s">
        <v>3377</v>
      </c>
    </row>
    <row r="134" spans="13:63" ht="12.75">
      <c r="M134" s="104"/>
      <c r="O134" s="206" t="s">
        <v>601</v>
      </c>
      <c r="P134" s="94" t="s">
        <v>474</v>
      </c>
      <c r="Q134" s="180">
        <v>142846</v>
      </c>
      <c r="R134" s="258">
        <v>1250</v>
      </c>
      <c r="S134" s="259" t="s">
        <v>5004</v>
      </c>
      <c r="T134" s="213" t="s">
        <v>4997</v>
      </c>
      <c r="U134" s="213">
        <v>3</v>
      </c>
      <c r="V134" s="213" t="s">
        <v>3443</v>
      </c>
      <c r="W134" s="213" t="s">
        <v>3572</v>
      </c>
      <c r="X134" s="213" t="s">
        <v>3441</v>
      </c>
      <c r="Y134" s="213" t="s">
        <v>4999</v>
      </c>
      <c r="Z134" s="213" t="s">
        <v>3650</v>
      </c>
      <c r="AA134" s="213">
        <v>10</v>
      </c>
      <c r="AB134" s="213">
        <v>130</v>
      </c>
      <c r="AC134" s="207" t="s">
        <v>3651</v>
      </c>
      <c r="AD134"/>
      <c r="AE134" s="206"/>
      <c r="AF134" s="94"/>
      <c r="AG134" s="94"/>
      <c r="AH134" s="94"/>
      <c r="AI134" s="94"/>
      <c r="AJ134" s="94"/>
      <c r="AK134" s="94"/>
      <c r="AL134" s="94"/>
      <c r="AM134" s="254"/>
      <c r="AN134" s="254"/>
      <c r="AO134" s="94"/>
      <c r="AP134" s="94"/>
      <c r="AQ134" s="94"/>
      <c r="AR134" s="94"/>
      <c r="AS134" s="207"/>
      <c r="BC134" s="246">
        <f aca="true" t="shared" si="17" ref="BC134:BC142">ROUND(BH134,0)</f>
        <v>3447</v>
      </c>
      <c r="BF134" t="s">
        <v>3751</v>
      </c>
      <c r="BG134" t="s">
        <v>3760</v>
      </c>
      <c r="BH134" s="233">
        <v>3447</v>
      </c>
      <c r="BI134" s="19" t="s">
        <v>496</v>
      </c>
      <c r="BJ134" s="247">
        <v>48</v>
      </c>
      <c r="BK134" s="19" t="s">
        <v>3378</v>
      </c>
    </row>
    <row r="135" spans="13:63" ht="12.75">
      <c r="M135" s="104"/>
      <c r="O135" s="206" t="s">
        <v>602</v>
      </c>
      <c r="P135" s="94" t="s">
        <v>475</v>
      </c>
      <c r="Q135" s="180">
        <v>135628</v>
      </c>
      <c r="R135" s="258">
        <v>1250</v>
      </c>
      <c r="S135" s="259" t="s">
        <v>5004</v>
      </c>
      <c r="T135" s="213" t="s">
        <v>4997</v>
      </c>
      <c r="U135" s="213">
        <v>3</v>
      </c>
      <c r="V135" s="213" t="s">
        <v>3443</v>
      </c>
      <c r="W135" s="213" t="s">
        <v>3572</v>
      </c>
      <c r="X135" s="213" t="s">
        <v>3441</v>
      </c>
      <c r="Y135" s="213" t="s">
        <v>4996</v>
      </c>
      <c r="Z135" s="213" t="s">
        <v>3650</v>
      </c>
      <c r="AA135" s="213">
        <v>10</v>
      </c>
      <c r="AB135" s="213">
        <v>130</v>
      </c>
      <c r="AC135" s="207" t="s">
        <v>3651</v>
      </c>
      <c r="AD135"/>
      <c r="AE135" s="206"/>
      <c r="AF135" s="94"/>
      <c r="AG135" s="94"/>
      <c r="AH135" s="94"/>
      <c r="AI135" s="94"/>
      <c r="AJ135" s="94"/>
      <c r="AK135" s="94"/>
      <c r="AL135" s="94"/>
      <c r="AM135" s="254"/>
      <c r="AN135" s="254"/>
      <c r="AO135" s="94"/>
      <c r="AP135" s="94"/>
      <c r="AQ135" s="94"/>
      <c r="AR135" s="94"/>
      <c r="AS135" s="207"/>
      <c r="BC135" s="246">
        <f t="shared" si="17"/>
        <v>3447</v>
      </c>
      <c r="BF135" t="s">
        <v>3752</v>
      </c>
      <c r="BG135" t="s">
        <v>3761</v>
      </c>
      <c r="BH135" s="233">
        <v>3447</v>
      </c>
      <c r="BI135" s="19" t="s">
        <v>498</v>
      </c>
      <c r="BJ135" s="247">
        <v>60</v>
      </c>
      <c r="BK135" s="19" t="s">
        <v>3379</v>
      </c>
    </row>
    <row r="136" spans="13:63" ht="12.75">
      <c r="M136" s="104"/>
      <c r="O136" s="206" t="s">
        <v>603</v>
      </c>
      <c r="P136" s="94" t="s">
        <v>476</v>
      </c>
      <c r="Q136" s="180">
        <v>167055</v>
      </c>
      <c r="R136" s="258">
        <v>1250</v>
      </c>
      <c r="S136" s="259" t="s">
        <v>5004</v>
      </c>
      <c r="T136" s="213" t="s">
        <v>4997</v>
      </c>
      <c r="U136" s="213">
        <v>3</v>
      </c>
      <c r="V136" s="213" t="s">
        <v>3443</v>
      </c>
      <c r="W136" s="213" t="s">
        <v>3572</v>
      </c>
      <c r="X136" s="213" t="s">
        <v>3445</v>
      </c>
      <c r="Y136" s="213" t="s">
        <v>4999</v>
      </c>
      <c r="Z136" s="213" t="s">
        <v>3650</v>
      </c>
      <c r="AA136" s="213">
        <v>10</v>
      </c>
      <c r="AB136" s="213">
        <v>130</v>
      </c>
      <c r="AC136" s="207" t="s">
        <v>3651</v>
      </c>
      <c r="AD136"/>
      <c r="AE136" s="206"/>
      <c r="AF136" s="94"/>
      <c r="AG136" s="94"/>
      <c r="AH136" s="94"/>
      <c r="AI136" s="94"/>
      <c r="AJ136" s="94"/>
      <c r="AK136" s="94"/>
      <c r="AL136" s="94"/>
      <c r="AM136" s="254"/>
      <c r="AN136" s="254"/>
      <c r="AO136" s="94"/>
      <c r="AP136" s="94"/>
      <c r="AQ136" s="94"/>
      <c r="AR136" s="94"/>
      <c r="AS136" s="207"/>
      <c r="BC136" s="246">
        <f t="shared" si="17"/>
        <v>3447</v>
      </c>
      <c r="BF136" t="s">
        <v>3753</v>
      </c>
      <c r="BG136" t="s">
        <v>3762</v>
      </c>
      <c r="BH136" s="233">
        <v>3447</v>
      </c>
      <c r="BI136" s="19" t="s">
        <v>3736</v>
      </c>
      <c r="BJ136" s="247" t="s">
        <v>3729</v>
      </c>
      <c r="BK136" s="19" t="s">
        <v>3380</v>
      </c>
    </row>
    <row r="137" spans="13:63" ht="12.75">
      <c r="M137" s="104"/>
      <c r="O137" s="206" t="s">
        <v>604</v>
      </c>
      <c r="P137" s="94" t="s">
        <v>477</v>
      </c>
      <c r="Q137" s="180">
        <v>159837</v>
      </c>
      <c r="R137" s="258">
        <v>1250</v>
      </c>
      <c r="S137" s="259" t="s">
        <v>5004</v>
      </c>
      <c r="T137" s="213" t="s">
        <v>4997</v>
      </c>
      <c r="U137" s="213">
        <v>3</v>
      </c>
      <c r="V137" s="213" t="s">
        <v>3443</v>
      </c>
      <c r="W137" s="213" t="s">
        <v>3572</v>
      </c>
      <c r="X137" s="213" t="s">
        <v>3445</v>
      </c>
      <c r="Y137" s="213" t="s">
        <v>4996</v>
      </c>
      <c r="Z137" s="213" t="s">
        <v>3650</v>
      </c>
      <c r="AA137" s="213">
        <v>10</v>
      </c>
      <c r="AB137" s="213">
        <v>130</v>
      </c>
      <c r="AC137" s="207" t="s">
        <v>3651</v>
      </c>
      <c r="AD137"/>
      <c r="AE137" s="206"/>
      <c r="AF137" s="94"/>
      <c r="AG137" s="94"/>
      <c r="AH137" s="94"/>
      <c r="AI137" s="94"/>
      <c r="AJ137" s="94"/>
      <c r="AK137" s="94"/>
      <c r="AL137" s="94"/>
      <c r="AM137" s="254"/>
      <c r="AN137" s="254"/>
      <c r="AO137" s="94"/>
      <c r="AP137" s="94"/>
      <c r="AQ137" s="94"/>
      <c r="AR137" s="94"/>
      <c r="AS137" s="207"/>
      <c r="BC137" s="246">
        <f t="shared" si="17"/>
        <v>3447</v>
      </c>
      <c r="BF137" t="s">
        <v>3754</v>
      </c>
      <c r="BG137" t="s">
        <v>3147</v>
      </c>
      <c r="BH137" s="233">
        <v>3447</v>
      </c>
      <c r="BI137" s="19" t="s">
        <v>501</v>
      </c>
      <c r="BJ137" s="247" t="s">
        <v>2265</v>
      </c>
      <c r="BK137" s="19" t="s">
        <v>3381</v>
      </c>
    </row>
    <row r="138" spans="13:63" ht="12.75">
      <c r="M138" s="104"/>
      <c r="O138" s="206" t="s">
        <v>605</v>
      </c>
      <c r="P138" s="94" t="s">
        <v>478</v>
      </c>
      <c r="Q138" s="180">
        <v>107856</v>
      </c>
      <c r="R138" s="258">
        <v>1600</v>
      </c>
      <c r="S138" s="259">
        <v>42</v>
      </c>
      <c r="T138" s="213" t="s">
        <v>4997</v>
      </c>
      <c r="U138" s="213">
        <v>3</v>
      </c>
      <c r="V138" s="213" t="s">
        <v>3443</v>
      </c>
      <c r="W138" s="213" t="s">
        <v>3572</v>
      </c>
      <c r="X138" s="213" t="s">
        <v>3441</v>
      </c>
      <c r="Y138" s="213" t="s">
        <v>4995</v>
      </c>
      <c r="Z138" s="213" t="s">
        <v>3670</v>
      </c>
      <c r="AA138" s="213">
        <v>42</v>
      </c>
      <c r="AB138" s="213">
        <v>42</v>
      </c>
      <c r="AC138" s="207" t="s">
        <v>4530</v>
      </c>
      <c r="AD138"/>
      <c r="AE138" s="206"/>
      <c r="AF138" s="94"/>
      <c r="AG138" s="94"/>
      <c r="AH138" s="94"/>
      <c r="AI138" s="94"/>
      <c r="AJ138" s="94"/>
      <c r="AK138" s="94"/>
      <c r="AL138" s="94"/>
      <c r="AM138" s="254"/>
      <c r="AN138" s="254"/>
      <c r="AO138" s="94"/>
      <c r="AP138" s="94"/>
      <c r="AQ138" s="94"/>
      <c r="AR138" s="94"/>
      <c r="AS138" s="207"/>
      <c r="BC138" s="246">
        <f t="shared" si="17"/>
        <v>3447</v>
      </c>
      <c r="BF138" t="s">
        <v>837</v>
      </c>
      <c r="BG138" t="s">
        <v>2385</v>
      </c>
      <c r="BH138" s="233">
        <v>3447</v>
      </c>
      <c r="BI138" s="19" t="s">
        <v>503</v>
      </c>
      <c r="BJ138" s="247" t="s">
        <v>2266</v>
      </c>
      <c r="BK138" s="19" t="s">
        <v>3382</v>
      </c>
    </row>
    <row r="139" spans="13:63" ht="12.75">
      <c r="M139" s="104"/>
      <c r="O139" s="206" t="s">
        <v>606</v>
      </c>
      <c r="P139" s="94" t="s">
        <v>479</v>
      </c>
      <c r="Q139" s="180">
        <v>120702</v>
      </c>
      <c r="R139" s="258">
        <v>1600</v>
      </c>
      <c r="S139" s="259">
        <v>42</v>
      </c>
      <c r="T139" s="213" t="s">
        <v>4997</v>
      </c>
      <c r="U139" s="213">
        <v>3</v>
      </c>
      <c r="V139" s="213" t="s">
        <v>3443</v>
      </c>
      <c r="W139" s="213" t="s">
        <v>3572</v>
      </c>
      <c r="X139" s="213" t="s">
        <v>3441</v>
      </c>
      <c r="Y139" s="213" t="s">
        <v>4999</v>
      </c>
      <c r="Z139" s="213" t="s">
        <v>3670</v>
      </c>
      <c r="AA139" s="213">
        <v>42</v>
      </c>
      <c r="AB139" s="213">
        <v>42</v>
      </c>
      <c r="AC139" s="207" t="s">
        <v>4530</v>
      </c>
      <c r="AD139"/>
      <c r="AE139" s="206"/>
      <c r="AF139" s="94"/>
      <c r="AG139" s="94"/>
      <c r="AH139" s="94"/>
      <c r="AI139" s="94"/>
      <c r="AJ139" s="94"/>
      <c r="AK139" s="94"/>
      <c r="AL139" s="94"/>
      <c r="AM139" s="254"/>
      <c r="AN139" s="254"/>
      <c r="AO139" s="94"/>
      <c r="AP139" s="94"/>
      <c r="AQ139" s="94"/>
      <c r="AR139" s="94"/>
      <c r="AS139" s="207"/>
      <c r="BC139" s="246">
        <f t="shared" si="17"/>
        <v>3447</v>
      </c>
      <c r="BF139" t="s">
        <v>3755</v>
      </c>
      <c r="BG139" t="s">
        <v>3148</v>
      </c>
      <c r="BH139" s="233">
        <v>3447</v>
      </c>
      <c r="BI139" s="19" t="s">
        <v>505</v>
      </c>
      <c r="BJ139" s="247" t="s">
        <v>2268</v>
      </c>
      <c r="BK139" s="19" t="s">
        <v>3383</v>
      </c>
    </row>
    <row r="140" spans="13:63" ht="12.75">
      <c r="M140" s="104"/>
      <c r="O140" s="206" t="s">
        <v>607</v>
      </c>
      <c r="P140" s="94" t="s">
        <v>480</v>
      </c>
      <c r="Q140" s="180">
        <v>113486</v>
      </c>
      <c r="R140" s="258">
        <v>1600</v>
      </c>
      <c r="S140" s="259">
        <v>42</v>
      </c>
      <c r="T140" s="213" t="s">
        <v>4997</v>
      </c>
      <c r="U140" s="213">
        <v>3</v>
      </c>
      <c r="V140" s="213" t="s">
        <v>3443</v>
      </c>
      <c r="W140" s="213" t="s">
        <v>3572</v>
      </c>
      <c r="X140" s="213" t="s">
        <v>3441</v>
      </c>
      <c r="Y140" s="213" t="s">
        <v>4996</v>
      </c>
      <c r="Z140" s="213" t="s">
        <v>3670</v>
      </c>
      <c r="AA140" s="213">
        <v>42</v>
      </c>
      <c r="AB140" s="213">
        <v>42</v>
      </c>
      <c r="AC140" s="207" t="s">
        <v>4530</v>
      </c>
      <c r="AD140"/>
      <c r="AE140" s="206"/>
      <c r="AF140" s="94"/>
      <c r="AG140" s="94"/>
      <c r="AH140" s="94"/>
      <c r="AI140" s="94"/>
      <c r="AJ140" s="94"/>
      <c r="AK140" s="94"/>
      <c r="AL140" s="94"/>
      <c r="AM140" s="254"/>
      <c r="AN140" s="254"/>
      <c r="AO140" s="94"/>
      <c r="AP140" s="94"/>
      <c r="AQ140" s="94"/>
      <c r="AR140" s="94"/>
      <c r="AS140" s="207"/>
      <c r="BC140" s="246">
        <f t="shared" si="17"/>
        <v>7112</v>
      </c>
      <c r="BF140" t="s">
        <v>3756</v>
      </c>
      <c r="BG140" t="s">
        <v>3149</v>
      </c>
      <c r="BH140" s="233">
        <v>7112</v>
      </c>
      <c r="BI140" s="19" t="s">
        <v>3735</v>
      </c>
      <c r="BJ140" s="247" t="s">
        <v>2269</v>
      </c>
      <c r="BK140" s="19" t="s">
        <v>3384</v>
      </c>
    </row>
    <row r="141" spans="13:63" ht="12.75">
      <c r="M141" s="104"/>
      <c r="O141" s="206" t="s">
        <v>608</v>
      </c>
      <c r="P141" s="94" t="s">
        <v>481</v>
      </c>
      <c r="Q141" s="180">
        <v>144913</v>
      </c>
      <c r="R141" s="258">
        <v>1600</v>
      </c>
      <c r="S141" s="259">
        <v>42</v>
      </c>
      <c r="T141" s="213" t="s">
        <v>4997</v>
      </c>
      <c r="U141" s="213">
        <v>3</v>
      </c>
      <c r="V141" s="213" t="s">
        <v>3443</v>
      </c>
      <c r="W141" s="213" t="s">
        <v>3572</v>
      </c>
      <c r="X141" s="213" t="s">
        <v>3445</v>
      </c>
      <c r="Y141" s="213" t="s">
        <v>4999</v>
      </c>
      <c r="Z141" s="213" t="s">
        <v>3670</v>
      </c>
      <c r="AA141" s="213">
        <v>42</v>
      </c>
      <c r="AB141" s="213">
        <v>42</v>
      </c>
      <c r="AC141" s="207" t="s">
        <v>4530</v>
      </c>
      <c r="AD141"/>
      <c r="AE141" s="206"/>
      <c r="AF141" s="94"/>
      <c r="AG141" s="94"/>
      <c r="AH141" s="94"/>
      <c r="AI141" s="94"/>
      <c r="AJ141" s="94"/>
      <c r="AK141" s="94"/>
      <c r="AL141" s="94"/>
      <c r="AM141" s="254"/>
      <c r="AN141" s="254"/>
      <c r="AO141" s="94"/>
      <c r="AP141" s="94"/>
      <c r="AQ141" s="94"/>
      <c r="AR141" s="94"/>
      <c r="AS141" s="207"/>
      <c r="BC141" s="246">
        <f t="shared" si="17"/>
        <v>7112</v>
      </c>
      <c r="BF141" t="s">
        <v>3757</v>
      </c>
      <c r="BG141" t="s">
        <v>3376</v>
      </c>
      <c r="BH141" s="233">
        <v>7112</v>
      </c>
      <c r="BI141" s="19" t="s">
        <v>483</v>
      </c>
      <c r="BJ141" s="247" t="s">
        <v>483</v>
      </c>
      <c r="BK141" s="19" t="s">
        <v>3385</v>
      </c>
    </row>
    <row r="142" spans="13:63" ht="12.75">
      <c r="M142" s="104"/>
      <c r="O142" s="206" t="s">
        <v>609</v>
      </c>
      <c r="P142" s="94" t="s">
        <v>482</v>
      </c>
      <c r="Q142" s="180">
        <v>137693</v>
      </c>
      <c r="R142" s="258">
        <v>1600</v>
      </c>
      <c r="S142" s="259">
        <v>42</v>
      </c>
      <c r="T142" s="213" t="s">
        <v>4997</v>
      </c>
      <c r="U142" s="213">
        <v>3</v>
      </c>
      <c r="V142" s="213" t="s">
        <v>3443</v>
      </c>
      <c r="W142" s="213" t="s">
        <v>3572</v>
      </c>
      <c r="X142" s="213" t="s">
        <v>3445</v>
      </c>
      <c r="Y142" s="213" t="s">
        <v>4996</v>
      </c>
      <c r="Z142" s="213" t="s">
        <v>3670</v>
      </c>
      <c r="AA142" s="213">
        <v>42</v>
      </c>
      <c r="AB142" s="213">
        <v>42</v>
      </c>
      <c r="AC142" s="207" t="s">
        <v>4530</v>
      </c>
      <c r="AD142"/>
      <c r="AE142" s="206"/>
      <c r="AF142" s="94"/>
      <c r="AG142" s="94"/>
      <c r="AH142" s="94"/>
      <c r="AI142" s="94"/>
      <c r="AJ142" s="94"/>
      <c r="AK142" s="94"/>
      <c r="AL142" s="94"/>
      <c r="AM142" s="254"/>
      <c r="AN142" s="254"/>
      <c r="AO142" s="94"/>
      <c r="AP142" s="94"/>
      <c r="AQ142" s="94"/>
      <c r="AR142" s="94"/>
      <c r="AS142" s="207"/>
      <c r="BC142" s="246">
        <f t="shared" si="17"/>
        <v>4233</v>
      </c>
      <c r="BF142" s="47" t="s">
        <v>814</v>
      </c>
      <c r="BG142" s="47" t="s">
        <v>3419</v>
      </c>
      <c r="BH142" s="141">
        <v>4233</v>
      </c>
      <c r="BI142" s="19" t="s">
        <v>3397</v>
      </c>
      <c r="BJ142" s="247"/>
      <c r="BK142" s="19"/>
    </row>
    <row r="143" spans="13:61" ht="12.75">
      <c r="M143" s="104"/>
      <c r="O143" s="206" t="s">
        <v>610</v>
      </c>
      <c r="P143" s="94" t="s">
        <v>3871</v>
      </c>
      <c r="Q143" s="180">
        <v>123234</v>
      </c>
      <c r="R143" s="258">
        <v>1600</v>
      </c>
      <c r="S143" s="259">
        <v>65</v>
      </c>
      <c r="T143" s="213" t="s">
        <v>4997</v>
      </c>
      <c r="U143" s="213">
        <v>3</v>
      </c>
      <c r="V143" s="213" t="s">
        <v>3443</v>
      </c>
      <c r="W143" s="213" t="s">
        <v>3572</v>
      </c>
      <c r="X143" s="213" t="s">
        <v>3441</v>
      </c>
      <c r="Y143" s="213" t="s">
        <v>4995</v>
      </c>
      <c r="Z143" s="213" t="s">
        <v>3634</v>
      </c>
      <c r="AA143" s="213">
        <v>55</v>
      </c>
      <c r="AB143" s="213">
        <v>65</v>
      </c>
      <c r="AC143" s="207" t="s">
        <v>4530</v>
      </c>
      <c r="AD143"/>
      <c r="AE143" s="206"/>
      <c r="AF143" s="94"/>
      <c r="AG143" s="94"/>
      <c r="AH143" s="94"/>
      <c r="AI143" s="94"/>
      <c r="AJ143" s="94"/>
      <c r="AK143" s="94"/>
      <c r="AL143" s="94"/>
      <c r="AM143" s="254"/>
      <c r="AN143" s="254"/>
      <c r="AO143" s="94"/>
      <c r="AP143" s="94"/>
      <c r="AQ143" s="94"/>
      <c r="AR143" s="94"/>
      <c r="AS143" s="207"/>
      <c r="BF143" s="47" t="s">
        <v>815</v>
      </c>
      <c r="BG143" s="47" t="s">
        <v>3420</v>
      </c>
      <c r="BH143" s="141">
        <v>5441</v>
      </c>
      <c r="BI143" s="19" t="s">
        <v>3398</v>
      </c>
    </row>
    <row r="144" spans="13:61" ht="12.75">
      <c r="M144" s="104"/>
      <c r="O144" s="206" t="s">
        <v>611</v>
      </c>
      <c r="P144" s="94" t="s">
        <v>4554</v>
      </c>
      <c r="Q144" s="180">
        <v>136082</v>
      </c>
      <c r="R144" s="258">
        <v>1600</v>
      </c>
      <c r="S144" s="259">
        <v>65</v>
      </c>
      <c r="T144" s="213" t="s">
        <v>4997</v>
      </c>
      <c r="U144" s="213">
        <v>3</v>
      </c>
      <c r="V144" s="213" t="s">
        <v>3443</v>
      </c>
      <c r="W144" s="213" t="s">
        <v>3572</v>
      </c>
      <c r="X144" s="213" t="s">
        <v>3441</v>
      </c>
      <c r="Y144" s="213" t="s">
        <v>4999</v>
      </c>
      <c r="Z144" s="213" t="s">
        <v>3634</v>
      </c>
      <c r="AA144" s="213">
        <v>55</v>
      </c>
      <c r="AB144" s="213">
        <v>65</v>
      </c>
      <c r="AC144" s="207" t="s">
        <v>4530</v>
      </c>
      <c r="AD144"/>
      <c r="AE144" s="206"/>
      <c r="AF144" s="94"/>
      <c r="AG144" s="94"/>
      <c r="AH144" s="94"/>
      <c r="AI144" s="94"/>
      <c r="AJ144" s="94"/>
      <c r="AK144" s="94"/>
      <c r="AL144" s="94"/>
      <c r="AM144" s="254"/>
      <c r="AN144" s="254"/>
      <c r="AO144" s="94"/>
      <c r="AP144" s="94"/>
      <c r="AQ144" s="94"/>
      <c r="AR144" s="94"/>
      <c r="AS144" s="207"/>
      <c r="BF144" s="47" t="s">
        <v>816</v>
      </c>
      <c r="BG144" s="47" t="s">
        <v>3421</v>
      </c>
      <c r="BH144" s="141">
        <v>5441</v>
      </c>
      <c r="BI144" s="19" t="s">
        <v>3399</v>
      </c>
    </row>
    <row r="145" spans="13:61" ht="12.75">
      <c r="M145" s="104"/>
      <c r="O145" s="206" t="s">
        <v>612</v>
      </c>
      <c r="P145" s="94" t="s">
        <v>4555</v>
      </c>
      <c r="Q145" s="180">
        <v>128866</v>
      </c>
      <c r="R145" s="258">
        <v>1600</v>
      </c>
      <c r="S145" s="259">
        <v>65</v>
      </c>
      <c r="T145" s="213" t="s">
        <v>4997</v>
      </c>
      <c r="U145" s="213">
        <v>3</v>
      </c>
      <c r="V145" s="213" t="s">
        <v>3443</v>
      </c>
      <c r="W145" s="213" t="s">
        <v>3572</v>
      </c>
      <c r="X145" s="213" t="s">
        <v>3441</v>
      </c>
      <c r="Y145" s="213" t="s">
        <v>4996</v>
      </c>
      <c r="Z145" s="213" t="s">
        <v>3634</v>
      </c>
      <c r="AA145" s="213">
        <v>55</v>
      </c>
      <c r="AB145" s="213">
        <v>65</v>
      </c>
      <c r="AC145" s="207" t="s">
        <v>4530</v>
      </c>
      <c r="AD145"/>
      <c r="AE145" s="206"/>
      <c r="AF145" s="94"/>
      <c r="AG145" s="94"/>
      <c r="AH145" s="94"/>
      <c r="AI145" s="94"/>
      <c r="AJ145" s="94"/>
      <c r="AK145" s="94"/>
      <c r="AL145" s="94"/>
      <c r="AM145" s="254"/>
      <c r="AN145" s="254"/>
      <c r="AO145" s="94"/>
      <c r="AP145" s="94"/>
      <c r="AQ145" s="94"/>
      <c r="AR145" s="94"/>
      <c r="AS145" s="207"/>
      <c r="BF145" s="47" t="s">
        <v>817</v>
      </c>
      <c r="BG145" s="47" t="s">
        <v>3422</v>
      </c>
      <c r="BH145" s="141">
        <v>5441</v>
      </c>
      <c r="BI145" s="19" t="s">
        <v>3400</v>
      </c>
    </row>
    <row r="146" spans="13:61" ht="12.75">
      <c r="M146" s="104"/>
      <c r="O146" s="206" t="s">
        <v>613</v>
      </c>
      <c r="P146" s="94" t="s">
        <v>4556</v>
      </c>
      <c r="Q146" s="180">
        <v>160290</v>
      </c>
      <c r="R146" s="258">
        <v>1600</v>
      </c>
      <c r="S146" s="259">
        <v>65</v>
      </c>
      <c r="T146" s="213" t="s">
        <v>4997</v>
      </c>
      <c r="U146" s="213">
        <v>3</v>
      </c>
      <c r="V146" s="213" t="s">
        <v>3443</v>
      </c>
      <c r="W146" s="213" t="s">
        <v>3572</v>
      </c>
      <c r="X146" s="213" t="s">
        <v>3445</v>
      </c>
      <c r="Y146" s="213" t="s">
        <v>4999</v>
      </c>
      <c r="Z146" s="213" t="s">
        <v>3634</v>
      </c>
      <c r="AA146" s="213">
        <v>55</v>
      </c>
      <c r="AB146" s="213">
        <v>65</v>
      </c>
      <c r="AC146" s="207" t="s">
        <v>4530</v>
      </c>
      <c r="AD146"/>
      <c r="AE146" s="206"/>
      <c r="AF146" s="94"/>
      <c r="AG146" s="94"/>
      <c r="AH146" s="94"/>
      <c r="AI146" s="94"/>
      <c r="AJ146" s="94"/>
      <c r="AK146" s="94"/>
      <c r="AL146" s="94"/>
      <c r="AM146" s="254"/>
      <c r="AN146" s="254"/>
      <c r="AO146" s="94"/>
      <c r="AP146" s="94"/>
      <c r="AQ146" s="94"/>
      <c r="AR146" s="94"/>
      <c r="AS146" s="207"/>
      <c r="BF146" s="47" t="s">
        <v>818</v>
      </c>
      <c r="BG146" s="47" t="s">
        <v>3423</v>
      </c>
      <c r="BH146" s="141">
        <v>4233</v>
      </c>
      <c r="BI146" s="19" t="s">
        <v>3404</v>
      </c>
    </row>
    <row r="147" spans="13:61" ht="12.75">
      <c r="M147" s="104"/>
      <c r="O147" s="206" t="s">
        <v>614</v>
      </c>
      <c r="P147" s="94" t="s">
        <v>4557</v>
      </c>
      <c r="Q147" s="180">
        <v>153074</v>
      </c>
      <c r="R147" s="258">
        <v>1600</v>
      </c>
      <c r="S147" s="259">
        <v>65</v>
      </c>
      <c r="T147" s="213" t="s">
        <v>4997</v>
      </c>
      <c r="U147" s="213">
        <v>3</v>
      </c>
      <c r="V147" s="213" t="s">
        <v>3443</v>
      </c>
      <c r="W147" s="213" t="s">
        <v>3572</v>
      </c>
      <c r="X147" s="213" t="s">
        <v>3445</v>
      </c>
      <c r="Y147" s="213" t="s">
        <v>4996</v>
      </c>
      <c r="Z147" s="213" t="s">
        <v>3634</v>
      </c>
      <c r="AA147" s="213">
        <v>55</v>
      </c>
      <c r="AB147" s="213">
        <v>65</v>
      </c>
      <c r="AC147" s="207" t="s">
        <v>4530</v>
      </c>
      <c r="AD147"/>
      <c r="AE147" s="206"/>
      <c r="AF147" s="94"/>
      <c r="AG147" s="94"/>
      <c r="AH147" s="94"/>
      <c r="AI147" s="94"/>
      <c r="AJ147" s="94"/>
      <c r="AK147" s="94"/>
      <c r="AL147" s="94"/>
      <c r="AM147" s="254"/>
      <c r="AN147" s="254"/>
      <c r="AO147" s="94"/>
      <c r="AP147" s="94"/>
      <c r="AQ147" s="94"/>
      <c r="AR147" s="94"/>
      <c r="AS147" s="207"/>
      <c r="BF147" s="47" t="s">
        <v>819</v>
      </c>
      <c r="BG147" s="47" t="s">
        <v>3424</v>
      </c>
      <c r="BH147" s="141">
        <v>5441</v>
      </c>
      <c r="BI147" s="19" t="s">
        <v>3401</v>
      </c>
    </row>
    <row r="148" spans="13:61" ht="12.75">
      <c r="M148" s="104"/>
      <c r="O148" s="206" t="s">
        <v>615</v>
      </c>
      <c r="P148" s="94" t="s">
        <v>4558</v>
      </c>
      <c r="Q148" s="180">
        <v>177458</v>
      </c>
      <c r="R148" s="258">
        <v>1600</v>
      </c>
      <c r="S148" s="259" t="s">
        <v>5004</v>
      </c>
      <c r="T148" s="213" t="s">
        <v>4997</v>
      </c>
      <c r="U148" s="213">
        <v>3</v>
      </c>
      <c r="V148" s="213" t="s">
        <v>3443</v>
      </c>
      <c r="W148" s="213" t="s">
        <v>3572</v>
      </c>
      <c r="X148" s="213" t="s">
        <v>3441</v>
      </c>
      <c r="Y148" s="213" t="s">
        <v>4995</v>
      </c>
      <c r="Z148" s="213" t="s">
        <v>3650</v>
      </c>
      <c r="AA148" s="213">
        <v>10</v>
      </c>
      <c r="AB148" s="213">
        <v>130</v>
      </c>
      <c r="AC148" s="207" t="s">
        <v>3651</v>
      </c>
      <c r="AD148"/>
      <c r="AE148" s="206"/>
      <c r="AF148" s="94"/>
      <c r="AG148" s="94"/>
      <c r="AH148" s="94"/>
      <c r="AI148" s="94"/>
      <c r="AJ148" s="94"/>
      <c r="AK148" s="94"/>
      <c r="AL148" s="94"/>
      <c r="AM148" s="254"/>
      <c r="AN148" s="254"/>
      <c r="AO148" s="94"/>
      <c r="AP148" s="94"/>
      <c r="AQ148" s="94"/>
      <c r="AR148" s="94"/>
      <c r="AS148" s="207"/>
      <c r="BF148" s="47" t="s">
        <v>820</v>
      </c>
      <c r="BG148" s="47" t="s">
        <v>3425</v>
      </c>
      <c r="BH148" s="141">
        <v>5441</v>
      </c>
      <c r="BI148" s="19" t="s">
        <v>3402</v>
      </c>
    </row>
    <row r="149" spans="13:61" ht="12.75">
      <c r="M149" s="104"/>
      <c r="O149" s="206" t="s">
        <v>616</v>
      </c>
      <c r="P149" s="94" t="s">
        <v>4559</v>
      </c>
      <c r="Q149" s="180">
        <v>190307</v>
      </c>
      <c r="R149" s="258">
        <v>1600</v>
      </c>
      <c r="S149" s="259" t="s">
        <v>5004</v>
      </c>
      <c r="T149" s="213" t="s">
        <v>4997</v>
      </c>
      <c r="U149" s="213">
        <v>3</v>
      </c>
      <c r="V149" s="213" t="s">
        <v>3443</v>
      </c>
      <c r="W149" s="213" t="s">
        <v>3572</v>
      </c>
      <c r="X149" s="213" t="s">
        <v>3441</v>
      </c>
      <c r="Y149" s="213" t="s">
        <v>4999</v>
      </c>
      <c r="Z149" s="213" t="s">
        <v>3650</v>
      </c>
      <c r="AA149" s="213">
        <v>10</v>
      </c>
      <c r="AB149" s="213">
        <v>130</v>
      </c>
      <c r="AC149" s="207" t="s">
        <v>3651</v>
      </c>
      <c r="AD149"/>
      <c r="AE149" s="206"/>
      <c r="AF149" s="94"/>
      <c r="AG149" s="94"/>
      <c r="AH149" s="94"/>
      <c r="AI149" s="94"/>
      <c r="AJ149" s="94"/>
      <c r="AK149" s="94"/>
      <c r="AL149" s="94"/>
      <c r="AM149" s="254"/>
      <c r="AN149" s="254"/>
      <c r="AO149" s="94"/>
      <c r="AP149" s="94"/>
      <c r="AQ149" s="94"/>
      <c r="AR149" s="94"/>
      <c r="AS149" s="207"/>
      <c r="BF149" s="47" t="s">
        <v>821</v>
      </c>
      <c r="BG149" s="47" t="s">
        <v>3426</v>
      </c>
      <c r="BH149" s="141">
        <v>5441</v>
      </c>
      <c r="BI149" s="19" t="s">
        <v>3403</v>
      </c>
    </row>
    <row r="150" spans="13:63" ht="12.75">
      <c r="M150" s="104"/>
      <c r="O150" s="206" t="s">
        <v>617</v>
      </c>
      <c r="P150" s="94" t="s">
        <v>4560</v>
      </c>
      <c r="Q150" s="180">
        <v>183090</v>
      </c>
      <c r="R150" s="258">
        <v>1600</v>
      </c>
      <c r="S150" s="259" t="s">
        <v>5004</v>
      </c>
      <c r="T150" s="213" t="s">
        <v>4997</v>
      </c>
      <c r="U150" s="213">
        <v>3</v>
      </c>
      <c r="V150" s="213" t="s">
        <v>3443</v>
      </c>
      <c r="W150" s="213" t="s">
        <v>3572</v>
      </c>
      <c r="X150" s="213" t="s">
        <v>3441</v>
      </c>
      <c r="Y150" s="213" t="s">
        <v>4996</v>
      </c>
      <c r="Z150" s="213" t="s">
        <v>3650</v>
      </c>
      <c r="AA150" s="213">
        <v>10</v>
      </c>
      <c r="AB150" s="213">
        <v>130</v>
      </c>
      <c r="AC150" s="207" t="s">
        <v>3651</v>
      </c>
      <c r="AD150"/>
      <c r="AE150" s="206"/>
      <c r="AF150" s="94"/>
      <c r="AG150" s="94"/>
      <c r="AH150" s="94"/>
      <c r="AI150" s="94"/>
      <c r="AJ150" s="94"/>
      <c r="AK150" s="94"/>
      <c r="AL150" s="94"/>
      <c r="AM150" s="254"/>
      <c r="AN150" s="254"/>
      <c r="AO150" s="94"/>
      <c r="AP150" s="94"/>
      <c r="AQ150" s="94"/>
      <c r="AR150" s="94"/>
      <c r="AS150" s="207"/>
      <c r="BF150" s="47" t="s">
        <v>824</v>
      </c>
      <c r="BG150" s="47" t="s">
        <v>1365</v>
      </c>
      <c r="BH150" s="141">
        <v>9143</v>
      </c>
      <c r="BK150" s="2" t="s">
        <v>3458</v>
      </c>
    </row>
    <row r="151" spans="13:63" ht="12.75">
      <c r="M151" s="104"/>
      <c r="O151" s="206" t="s">
        <v>618</v>
      </c>
      <c r="P151" s="94" t="s">
        <v>4561</v>
      </c>
      <c r="Q151" s="180">
        <v>214516</v>
      </c>
      <c r="R151" s="258">
        <v>1600</v>
      </c>
      <c r="S151" s="259" t="s">
        <v>5004</v>
      </c>
      <c r="T151" s="213" t="s">
        <v>4997</v>
      </c>
      <c r="U151" s="213">
        <v>3</v>
      </c>
      <c r="V151" s="213" t="s">
        <v>3443</v>
      </c>
      <c r="W151" s="213" t="s">
        <v>3572</v>
      </c>
      <c r="X151" s="213" t="s">
        <v>3445</v>
      </c>
      <c r="Y151" s="213" t="s">
        <v>4999</v>
      </c>
      <c r="Z151" s="213" t="s">
        <v>3650</v>
      </c>
      <c r="AA151" s="213">
        <v>10</v>
      </c>
      <c r="AB151" s="213">
        <v>130</v>
      </c>
      <c r="AC151" s="207" t="s">
        <v>3651</v>
      </c>
      <c r="AD151"/>
      <c r="AE151" s="206"/>
      <c r="AF151" s="94"/>
      <c r="AG151" s="94"/>
      <c r="AH151" s="94"/>
      <c r="AI151" s="94"/>
      <c r="AJ151" s="94"/>
      <c r="AK151" s="94"/>
      <c r="AL151" s="94"/>
      <c r="AM151" s="254"/>
      <c r="AN151" s="254"/>
      <c r="AO151" s="94"/>
      <c r="AP151" s="94"/>
      <c r="AQ151" s="94"/>
      <c r="AR151" s="94"/>
      <c r="AS151" s="207"/>
      <c r="BF151" s="47" t="s">
        <v>825</v>
      </c>
      <c r="BG151" s="47" t="s">
        <v>1366</v>
      </c>
      <c r="BH151" s="141">
        <v>9143</v>
      </c>
      <c r="BK151" s="2" t="s">
        <v>3459</v>
      </c>
    </row>
    <row r="152" spans="13:45" ht="12.75">
      <c r="M152" s="104"/>
      <c r="O152" s="206" t="s">
        <v>619</v>
      </c>
      <c r="P152" s="94" t="s">
        <v>4562</v>
      </c>
      <c r="Q152" s="180">
        <v>207299</v>
      </c>
      <c r="R152" s="258">
        <v>1600</v>
      </c>
      <c r="S152" s="259" t="s">
        <v>5004</v>
      </c>
      <c r="T152" s="213" t="s">
        <v>4997</v>
      </c>
      <c r="U152" s="213">
        <v>3</v>
      </c>
      <c r="V152" s="213" t="s">
        <v>3443</v>
      </c>
      <c r="W152" s="213" t="s">
        <v>3572</v>
      </c>
      <c r="X152" s="213" t="s">
        <v>3445</v>
      </c>
      <c r="Y152" s="213" t="s">
        <v>4996</v>
      </c>
      <c r="Z152" s="213" t="s">
        <v>3650</v>
      </c>
      <c r="AA152" s="213">
        <v>10</v>
      </c>
      <c r="AB152" s="213">
        <v>130</v>
      </c>
      <c r="AC152" s="207" t="s">
        <v>3651</v>
      </c>
      <c r="AD152"/>
      <c r="AE152" s="206"/>
      <c r="AF152" s="94"/>
      <c r="AG152" s="94"/>
      <c r="AH152" s="94"/>
      <c r="AI152" s="94"/>
      <c r="AJ152" s="94"/>
      <c r="AK152" s="94"/>
      <c r="AL152" s="94"/>
      <c r="AM152" s="254"/>
      <c r="AN152" s="254"/>
      <c r="AO152" s="94"/>
      <c r="AP152" s="94"/>
      <c r="AQ152" s="94"/>
      <c r="AR152" s="94"/>
      <c r="AS152" s="207"/>
    </row>
    <row r="153" spans="13:63" ht="12.75">
      <c r="M153" s="104"/>
      <c r="O153" s="206" t="s">
        <v>620</v>
      </c>
      <c r="P153" s="94" t="s">
        <v>4563</v>
      </c>
      <c r="Q153" s="180">
        <v>130728</v>
      </c>
      <c r="R153" s="258">
        <v>2000</v>
      </c>
      <c r="S153" s="259">
        <v>42</v>
      </c>
      <c r="T153" s="213" t="s">
        <v>4997</v>
      </c>
      <c r="U153" s="213">
        <v>3</v>
      </c>
      <c r="V153" s="213" t="s">
        <v>3443</v>
      </c>
      <c r="W153" s="213" t="s">
        <v>3572</v>
      </c>
      <c r="X153" s="213" t="s">
        <v>3441</v>
      </c>
      <c r="Y153" s="213" t="s">
        <v>4995</v>
      </c>
      <c r="Z153" s="213" t="s">
        <v>3670</v>
      </c>
      <c r="AA153" s="213">
        <v>42</v>
      </c>
      <c r="AB153" s="213">
        <v>42</v>
      </c>
      <c r="AC153" s="207" t="s">
        <v>4530</v>
      </c>
      <c r="AD153"/>
      <c r="AE153" s="206"/>
      <c r="AF153" s="94"/>
      <c r="AG153" s="94"/>
      <c r="AH153" s="94"/>
      <c r="AI153" s="94"/>
      <c r="AJ153" s="94"/>
      <c r="AK153" s="94"/>
      <c r="AL153" s="94"/>
      <c r="AM153" s="254"/>
      <c r="AN153" s="254"/>
      <c r="AO153" s="94"/>
      <c r="AP153" s="94"/>
      <c r="AQ153" s="94"/>
      <c r="AR153" s="94"/>
      <c r="AS153" s="207"/>
      <c r="BE153" s="2" t="s">
        <v>3070</v>
      </c>
      <c r="BF153" s="2" t="s">
        <v>4880</v>
      </c>
      <c r="BG153" s="2" t="s">
        <v>4881</v>
      </c>
      <c r="BH153" s="124">
        <v>4849</v>
      </c>
      <c r="BI153" s="124"/>
      <c r="BK153" s="124" t="s">
        <v>3911</v>
      </c>
    </row>
    <row r="154" spans="13:63" ht="12.75">
      <c r="M154" s="104"/>
      <c r="O154" s="206" t="s">
        <v>621</v>
      </c>
      <c r="P154" s="94" t="s">
        <v>4564</v>
      </c>
      <c r="Q154" s="180">
        <v>143576</v>
      </c>
      <c r="R154" s="258">
        <v>2000</v>
      </c>
      <c r="S154" s="259">
        <v>42</v>
      </c>
      <c r="T154" s="213" t="s">
        <v>4997</v>
      </c>
      <c r="U154" s="213">
        <v>3</v>
      </c>
      <c r="V154" s="213" t="s">
        <v>3443</v>
      </c>
      <c r="W154" s="213" t="s">
        <v>3572</v>
      </c>
      <c r="X154" s="213" t="s">
        <v>3441</v>
      </c>
      <c r="Y154" s="213" t="s">
        <v>4999</v>
      </c>
      <c r="Z154" s="213" t="s">
        <v>3670</v>
      </c>
      <c r="AA154" s="213">
        <v>42</v>
      </c>
      <c r="AB154" s="213">
        <v>42</v>
      </c>
      <c r="AC154" s="207" t="s">
        <v>4530</v>
      </c>
      <c r="AD154"/>
      <c r="AE154" s="206"/>
      <c r="AF154" s="94"/>
      <c r="AG154" s="94"/>
      <c r="AH154" s="94"/>
      <c r="AI154" s="94"/>
      <c r="AJ154" s="94"/>
      <c r="AK154" s="94"/>
      <c r="AL154" s="94"/>
      <c r="AM154" s="254"/>
      <c r="AN154" s="254"/>
      <c r="AO154" s="94"/>
      <c r="AP154" s="94"/>
      <c r="AQ154" s="94"/>
      <c r="AR154" s="94"/>
      <c r="AS154" s="207"/>
      <c r="BE154" s="2" t="s">
        <v>3070</v>
      </c>
      <c r="BF154" s="2" t="s">
        <v>4882</v>
      </c>
      <c r="BG154" s="2" t="s">
        <v>4883</v>
      </c>
      <c r="BH154" s="124">
        <v>8037</v>
      </c>
      <c r="BI154" s="124"/>
      <c r="BK154" s="124" t="s">
        <v>3912</v>
      </c>
    </row>
    <row r="155" spans="13:63" ht="12.75">
      <c r="M155" s="104"/>
      <c r="O155" s="206" t="s">
        <v>622</v>
      </c>
      <c r="P155" s="94" t="s">
        <v>1495</v>
      </c>
      <c r="Q155" s="180">
        <v>136359</v>
      </c>
      <c r="R155" s="258">
        <v>2000</v>
      </c>
      <c r="S155" s="259">
        <v>42</v>
      </c>
      <c r="T155" s="213" t="s">
        <v>4997</v>
      </c>
      <c r="U155" s="213">
        <v>3</v>
      </c>
      <c r="V155" s="213" t="s">
        <v>3443</v>
      </c>
      <c r="W155" s="213" t="s">
        <v>3572</v>
      </c>
      <c r="X155" s="213" t="s">
        <v>3441</v>
      </c>
      <c r="Y155" s="213" t="s">
        <v>4996</v>
      </c>
      <c r="Z155" s="213" t="s">
        <v>3670</v>
      </c>
      <c r="AA155" s="213">
        <v>42</v>
      </c>
      <c r="AB155" s="213">
        <v>42</v>
      </c>
      <c r="AC155" s="207" t="s">
        <v>4530</v>
      </c>
      <c r="AD155"/>
      <c r="AE155" s="206"/>
      <c r="AF155" s="94"/>
      <c r="AG155" s="94"/>
      <c r="AH155" s="94"/>
      <c r="AI155" s="94"/>
      <c r="AJ155" s="94"/>
      <c r="AK155" s="94"/>
      <c r="AL155" s="94"/>
      <c r="AM155" s="254"/>
      <c r="AN155" s="254"/>
      <c r="AO155" s="94"/>
      <c r="AP155" s="94"/>
      <c r="AQ155" s="94"/>
      <c r="AR155" s="94"/>
      <c r="AS155" s="207"/>
      <c r="BE155" s="2" t="s">
        <v>3070</v>
      </c>
      <c r="BF155" s="2" t="s">
        <v>4884</v>
      </c>
      <c r="BG155" s="2" t="s">
        <v>3073</v>
      </c>
      <c r="BH155" s="124">
        <v>12857</v>
      </c>
      <c r="BI155" s="105" t="s">
        <v>4126</v>
      </c>
      <c r="BK155" s="105" t="s">
        <v>3913</v>
      </c>
    </row>
    <row r="156" spans="13:63" ht="12.75">
      <c r="M156" s="104"/>
      <c r="O156" s="206" t="s">
        <v>623</v>
      </c>
      <c r="P156" s="94" t="s">
        <v>1496</v>
      </c>
      <c r="Q156" s="180">
        <v>167786</v>
      </c>
      <c r="R156" s="258">
        <v>2000</v>
      </c>
      <c r="S156" s="259">
        <v>42</v>
      </c>
      <c r="T156" s="213" t="s">
        <v>4997</v>
      </c>
      <c r="U156" s="213">
        <v>3</v>
      </c>
      <c r="V156" s="213" t="s">
        <v>3443</v>
      </c>
      <c r="W156" s="213" t="s">
        <v>3572</v>
      </c>
      <c r="X156" s="213" t="s">
        <v>3445</v>
      </c>
      <c r="Y156" s="213" t="s">
        <v>4999</v>
      </c>
      <c r="Z156" s="213" t="s">
        <v>3670</v>
      </c>
      <c r="AA156" s="213">
        <v>42</v>
      </c>
      <c r="AB156" s="213">
        <v>42</v>
      </c>
      <c r="AC156" s="207" t="s">
        <v>4530</v>
      </c>
      <c r="AD156"/>
      <c r="AE156" s="206"/>
      <c r="AF156" s="94"/>
      <c r="AG156" s="94"/>
      <c r="AH156" s="94"/>
      <c r="AI156" s="94"/>
      <c r="AJ156" s="94"/>
      <c r="AK156" s="94"/>
      <c r="AL156" s="94"/>
      <c r="AM156" s="254"/>
      <c r="AN156" s="254"/>
      <c r="AO156" s="94"/>
      <c r="AP156" s="94"/>
      <c r="AQ156" s="94"/>
      <c r="AR156" s="94"/>
      <c r="AS156" s="207"/>
      <c r="BE156" s="2" t="s">
        <v>3070</v>
      </c>
      <c r="BF156" s="2" t="s">
        <v>4885</v>
      </c>
      <c r="BG156" s="2" t="s">
        <v>3074</v>
      </c>
      <c r="BH156" s="124">
        <v>14287</v>
      </c>
      <c r="BI156" s="105" t="s">
        <v>3072</v>
      </c>
      <c r="BK156" s="105" t="s">
        <v>3914</v>
      </c>
    </row>
    <row r="157" spans="13:63" ht="12.75">
      <c r="M157" s="104"/>
      <c r="O157" s="206" t="s">
        <v>624</v>
      </c>
      <c r="P157" s="94" t="s">
        <v>3540</v>
      </c>
      <c r="Q157" s="180">
        <v>160568</v>
      </c>
      <c r="R157" s="258">
        <v>2000</v>
      </c>
      <c r="S157" s="259">
        <v>42</v>
      </c>
      <c r="T157" s="213" t="s">
        <v>4997</v>
      </c>
      <c r="U157" s="213">
        <v>3</v>
      </c>
      <c r="V157" s="213" t="s">
        <v>3443</v>
      </c>
      <c r="W157" s="213" t="s">
        <v>3572</v>
      </c>
      <c r="X157" s="213" t="s">
        <v>3445</v>
      </c>
      <c r="Y157" s="213" t="s">
        <v>4996</v>
      </c>
      <c r="Z157" s="213" t="s">
        <v>3670</v>
      </c>
      <c r="AA157" s="213">
        <v>42</v>
      </c>
      <c r="AB157" s="213">
        <v>42</v>
      </c>
      <c r="AC157" s="207" t="s">
        <v>4530</v>
      </c>
      <c r="AD157"/>
      <c r="AE157" s="206"/>
      <c r="AF157" s="94"/>
      <c r="AG157" s="94"/>
      <c r="AH157" s="94"/>
      <c r="AI157" s="94"/>
      <c r="AJ157" s="94"/>
      <c r="AK157" s="94"/>
      <c r="AL157" s="94"/>
      <c r="AM157" s="254"/>
      <c r="AN157" s="254"/>
      <c r="AO157" s="94"/>
      <c r="AP157" s="94"/>
      <c r="AQ157" s="94"/>
      <c r="AR157" s="94"/>
      <c r="AS157" s="207"/>
      <c r="BE157" s="2" t="s">
        <v>3070</v>
      </c>
      <c r="BF157" s="2" t="s">
        <v>3922</v>
      </c>
      <c r="BG157" s="2" t="s">
        <v>3891</v>
      </c>
      <c r="BH157" s="124">
        <v>7038</v>
      </c>
      <c r="BI157" s="19" t="s">
        <v>552</v>
      </c>
      <c r="BJ157" s="19"/>
      <c r="BK157" s="19" t="s">
        <v>3915</v>
      </c>
    </row>
    <row r="158" spans="13:63" ht="12.75">
      <c r="M158" s="104"/>
      <c r="O158" s="206" t="s">
        <v>625</v>
      </c>
      <c r="P158" s="94" t="s">
        <v>1427</v>
      </c>
      <c r="Q158" s="180">
        <v>149748</v>
      </c>
      <c r="R158" s="258">
        <v>2000</v>
      </c>
      <c r="S158" s="259">
        <v>65</v>
      </c>
      <c r="T158" s="213" t="s">
        <v>4997</v>
      </c>
      <c r="U158" s="213">
        <v>3</v>
      </c>
      <c r="V158" s="213" t="s">
        <v>3443</v>
      </c>
      <c r="W158" s="213" t="s">
        <v>3572</v>
      </c>
      <c r="X158" s="213" t="s">
        <v>3441</v>
      </c>
      <c r="Y158" s="213" t="s">
        <v>4995</v>
      </c>
      <c r="Z158" s="213" t="s">
        <v>3634</v>
      </c>
      <c r="AA158" s="213">
        <v>55</v>
      </c>
      <c r="AB158" s="213">
        <v>65</v>
      </c>
      <c r="AC158" s="207" t="s">
        <v>4530</v>
      </c>
      <c r="AD158"/>
      <c r="AE158" s="206"/>
      <c r="AF158" s="94"/>
      <c r="AG158" s="94"/>
      <c r="AH158" s="94"/>
      <c r="AI158" s="94"/>
      <c r="AJ158" s="94"/>
      <c r="AK158" s="94"/>
      <c r="AL158" s="94"/>
      <c r="AM158" s="254"/>
      <c r="AN158" s="254"/>
      <c r="AO158" s="94"/>
      <c r="AP158" s="94"/>
      <c r="AQ158" s="94"/>
      <c r="AR158" s="94"/>
      <c r="AS158" s="207"/>
      <c r="BE158" s="2" t="s">
        <v>3070</v>
      </c>
      <c r="BF158" s="2" t="s">
        <v>3923</v>
      </c>
      <c r="BG158" s="2" t="s">
        <v>3889</v>
      </c>
      <c r="BH158" s="124">
        <v>10613</v>
      </c>
      <c r="BI158" s="19" t="s">
        <v>3071</v>
      </c>
      <c r="BJ158" s="19"/>
      <c r="BK158" s="19" t="s">
        <v>3916</v>
      </c>
    </row>
    <row r="159" spans="13:63" ht="12.75">
      <c r="M159" s="104"/>
      <c r="O159" s="206" t="s">
        <v>626</v>
      </c>
      <c r="P159" s="94" t="s">
        <v>1428</v>
      </c>
      <c r="Q159" s="180">
        <v>162597</v>
      </c>
      <c r="R159" s="258">
        <v>2000</v>
      </c>
      <c r="S159" s="259">
        <v>65</v>
      </c>
      <c r="T159" s="213" t="s">
        <v>4997</v>
      </c>
      <c r="U159" s="213">
        <v>3</v>
      </c>
      <c r="V159" s="213" t="s">
        <v>3443</v>
      </c>
      <c r="W159" s="213" t="s">
        <v>3572</v>
      </c>
      <c r="X159" s="213" t="s">
        <v>3441</v>
      </c>
      <c r="Y159" s="213" t="s">
        <v>4999</v>
      </c>
      <c r="Z159" s="213" t="s">
        <v>3634</v>
      </c>
      <c r="AA159" s="213">
        <v>55</v>
      </c>
      <c r="AB159" s="213">
        <v>65</v>
      </c>
      <c r="AC159" s="207" t="s">
        <v>4530</v>
      </c>
      <c r="AD159"/>
      <c r="AE159" s="206"/>
      <c r="AF159" s="94"/>
      <c r="AG159" s="94"/>
      <c r="AH159" s="94"/>
      <c r="AI159" s="94"/>
      <c r="AJ159" s="94"/>
      <c r="AK159" s="94"/>
      <c r="AL159" s="94"/>
      <c r="AM159" s="254"/>
      <c r="AN159" s="254"/>
      <c r="AO159" s="94"/>
      <c r="AP159" s="94"/>
      <c r="AQ159" s="94"/>
      <c r="AR159" s="94"/>
      <c r="AS159" s="207"/>
      <c r="BE159" s="2" t="s">
        <v>3070</v>
      </c>
      <c r="BF159" s="2" t="s">
        <v>3924</v>
      </c>
      <c r="BG159" s="2" t="s">
        <v>3890</v>
      </c>
      <c r="BH159" s="124">
        <v>10613</v>
      </c>
      <c r="BI159" s="19" t="s">
        <v>554</v>
      </c>
      <c r="BJ159" s="19"/>
      <c r="BK159" s="19" t="s">
        <v>3917</v>
      </c>
    </row>
    <row r="160" spans="13:63" ht="12.75">
      <c r="M160" s="104"/>
      <c r="O160" s="206" t="s">
        <v>627</v>
      </c>
      <c r="P160" s="94" t="s">
        <v>1530</v>
      </c>
      <c r="Q160" s="180">
        <v>155379</v>
      </c>
      <c r="R160" s="258">
        <v>2000</v>
      </c>
      <c r="S160" s="259">
        <v>65</v>
      </c>
      <c r="T160" s="213" t="s">
        <v>4997</v>
      </c>
      <c r="U160" s="213">
        <v>3</v>
      </c>
      <c r="V160" s="213" t="s">
        <v>3443</v>
      </c>
      <c r="W160" s="213" t="s">
        <v>3572</v>
      </c>
      <c r="X160" s="213" t="s">
        <v>3441</v>
      </c>
      <c r="Y160" s="213" t="s">
        <v>4996</v>
      </c>
      <c r="Z160" s="213" t="s">
        <v>3634</v>
      </c>
      <c r="AA160" s="213">
        <v>55</v>
      </c>
      <c r="AB160" s="213">
        <v>65</v>
      </c>
      <c r="AC160" s="207" t="s">
        <v>4530</v>
      </c>
      <c r="AD160"/>
      <c r="AE160" s="206"/>
      <c r="AF160" s="94"/>
      <c r="AG160" s="94"/>
      <c r="AH160" s="94"/>
      <c r="AI160" s="94"/>
      <c r="AJ160" s="94"/>
      <c r="AK160" s="94"/>
      <c r="AL160" s="94"/>
      <c r="AM160" s="254"/>
      <c r="AN160" s="254"/>
      <c r="AO160" s="94"/>
      <c r="AP160" s="94"/>
      <c r="AQ160" s="94"/>
      <c r="AR160" s="94"/>
      <c r="AS160" s="207"/>
      <c r="BE160" s="2" t="s">
        <v>3070</v>
      </c>
      <c r="BF160" s="2" t="s">
        <v>3925</v>
      </c>
      <c r="BG160" s="2" t="s">
        <v>3890</v>
      </c>
      <c r="BH160" s="124">
        <v>10613</v>
      </c>
      <c r="BI160" s="19" t="s">
        <v>555</v>
      </c>
      <c r="BJ160" s="19"/>
      <c r="BK160" s="19" t="s">
        <v>3918</v>
      </c>
    </row>
    <row r="161" spans="13:63" ht="12.75">
      <c r="M161" s="104"/>
      <c r="O161" s="206" t="s">
        <v>628</v>
      </c>
      <c r="P161" s="94" t="s">
        <v>1531</v>
      </c>
      <c r="Q161" s="180">
        <v>186804</v>
      </c>
      <c r="R161" s="258">
        <v>2000</v>
      </c>
      <c r="S161" s="259">
        <v>65</v>
      </c>
      <c r="T161" s="213" t="s">
        <v>4997</v>
      </c>
      <c r="U161" s="213">
        <v>3</v>
      </c>
      <c r="V161" s="213" t="s">
        <v>3443</v>
      </c>
      <c r="W161" s="213" t="s">
        <v>3572</v>
      </c>
      <c r="X161" s="213" t="s">
        <v>3445</v>
      </c>
      <c r="Y161" s="213" t="s">
        <v>4999</v>
      </c>
      <c r="Z161" s="213" t="s">
        <v>3634</v>
      </c>
      <c r="AA161" s="213">
        <v>55</v>
      </c>
      <c r="AB161" s="213">
        <v>65</v>
      </c>
      <c r="AC161" s="207" t="s">
        <v>4530</v>
      </c>
      <c r="AD161"/>
      <c r="AE161" s="206"/>
      <c r="AF161" s="94"/>
      <c r="AG161" s="94"/>
      <c r="AH161" s="94"/>
      <c r="AI161" s="94"/>
      <c r="AJ161" s="94"/>
      <c r="AK161" s="94"/>
      <c r="AL161" s="94"/>
      <c r="AM161" s="254"/>
      <c r="AN161" s="254"/>
      <c r="AO161" s="94"/>
      <c r="AP161" s="94"/>
      <c r="AQ161" s="94"/>
      <c r="AR161" s="94"/>
      <c r="AS161" s="207"/>
      <c r="BE161" s="2" t="s">
        <v>3070</v>
      </c>
      <c r="BF161" s="2" t="s">
        <v>3926</v>
      </c>
      <c r="BG161" s="2" t="s">
        <v>3890</v>
      </c>
      <c r="BH161" s="124">
        <v>10613</v>
      </c>
      <c r="BI161" s="19" t="s">
        <v>556</v>
      </c>
      <c r="BJ161" s="19"/>
      <c r="BK161" s="19" t="s">
        <v>3919</v>
      </c>
    </row>
    <row r="162" spans="13:66" ht="12.75">
      <c r="M162" s="104"/>
      <c r="O162" s="206" t="s">
        <v>629</v>
      </c>
      <c r="P162" s="94" t="s">
        <v>1532</v>
      </c>
      <c r="Q162" s="180">
        <v>179588</v>
      </c>
      <c r="R162" s="258">
        <v>2000</v>
      </c>
      <c r="S162" s="259">
        <v>65</v>
      </c>
      <c r="T162" s="213" t="s">
        <v>4997</v>
      </c>
      <c r="U162" s="213">
        <v>3</v>
      </c>
      <c r="V162" s="213" t="s">
        <v>3443</v>
      </c>
      <c r="W162" s="213" t="s">
        <v>3572</v>
      </c>
      <c r="X162" s="213" t="s">
        <v>3445</v>
      </c>
      <c r="Y162" s="213" t="s">
        <v>4996</v>
      </c>
      <c r="Z162" s="213" t="s">
        <v>3634</v>
      </c>
      <c r="AA162" s="213">
        <v>55</v>
      </c>
      <c r="AB162" s="213">
        <v>65</v>
      </c>
      <c r="AC162" s="207" t="s">
        <v>4530</v>
      </c>
      <c r="AD162"/>
      <c r="AE162" s="206"/>
      <c r="AF162" s="94"/>
      <c r="AG162" s="94"/>
      <c r="AH162" s="94"/>
      <c r="AI162" s="94"/>
      <c r="AJ162" s="94"/>
      <c r="AK162" s="94"/>
      <c r="AL162" s="94"/>
      <c r="AM162" s="254"/>
      <c r="AN162" s="254"/>
      <c r="AO162" s="94"/>
      <c r="AP162" s="94"/>
      <c r="AQ162" s="94"/>
      <c r="AR162" s="94"/>
      <c r="AS162" s="207"/>
      <c r="BE162" s="2" t="s">
        <v>3070</v>
      </c>
      <c r="BF162" s="2" t="s">
        <v>366</v>
      </c>
      <c r="BG162" s="2" t="s">
        <v>4939</v>
      </c>
      <c r="BH162" s="124">
        <v>3429</v>
      </c>
      <c r="BI162" s="19"/>
      <c r="BK162" s="19" t="s">
        <v>4129</v>
      </c>
      <c r="BN162" s="261"/>
    </row>
    <row r="163" spans="13:66" ht="12.75">
      <c r="M163" s="104"/>
      <c r="O163" s="206" t="s">
        <v>631</v>
      </c>
      <c r="P163" s="94" t="s">
        <v>3703</v>
      </c>
      <c r="Q163" s="180">
        <v>117179</v>
      </c>
      <c r="R163" s="258">
        <v>1250</v>
      </c>
      <c r="S163" s="259">
        <v>65</v>
      </c>
      <c r="T163" s="213" t="s">
        <v>4997</v>
      </c>
      <c r="U163" s="213">
        <v>4</v>
      </c>
      <c r="V163" s="213" t="s">
        <v>3439</v>
      </c>
      <c r="W163" s="213" t="s">
        <v>3361</v>
      </c>
      <c r="X163" s="213" t="s">
        <v>3441</v>
      </c>
      <c r="Y163" s="213" t="s">
        <v>4995</v>
      </c>
      <c r="Z163" s="213" t="s">
        <v>3634</v>
      </c>
      <c r="AA163" s="213">
        <v>55</v>
      </c>
      <c r="AB163" s="213">
        <v>65</v>
      </c>
      <c r="AC163" s="207" t="s">
        <v>4530</v>
      </c>
      <c r="AD163"/>
      <c r="AE163" s="206"/>
      <c r="AF163" s="94"/>
      <c r="AG163" s="94"/>
      <c r="AH163" s="94"/>
      <c r="AI163" s="94"/>
      <c r="AJ163" s="94"/>
      <c r="AK163" s="94"/>
      <c r="AL163" s="94"/>
      <c r="AM163" s="254"/>
      <c r="AN163" s="254"/>
      <c r="AO163" s="94"/>
      <c r="AP163" s="94"/>
      <c r="AQ163" s="94"/>
      <c r="AR163" s="94"/>
      <c r="AS163" s="207"/>
      <c r="BE163" s="2" t="s">
        <v>3070</v>
      </c>
      <c r="BF163" s="2" t="s">
        <v>367</v>
      </c>
      <c r="BG163" s="2" t="s">
        <v>4930</v>
      </c>
      <c r="BH163" s="124">
        <v>3429</v>
      </c>
      <c r="BI163" s="19"/>
      <c r="BK163" s="19" t="s">
        <v>4129</v>
      </c>
      <c r="BN163" s="261"/>
    </row>
    <row r="164" spans="13:66" ht="12.75">
      <c r="M164" s="104"/>
      <c r="O164" s="206" t="s">
        <v>2417</v>
      </c>
      <c r="P164" s="94" t="s">
        <v>3706</v>
      </c>
      <c r="Q164" s="180">
        <v>130027</v>
      </c>
      <c r="R164" s="258">
        <v>1250</v>
      </c>
      <c r="S164" s="259">
        <v>65</v>
      </c>
      <c r="T164" s="213" t="s">
        <v>4997</v>
      </c>
      <c r="U164" s="213">
        <v>4</v>
      </c>
      <c r="V164" s="213" t="s">
        <v>3439</v>
      </c>
      <c r="W164" s="213" t="s">
        <v>3361</v>
      </c>
      <c r="X164" s="213" t="s">
        <v>3441</v>
      </c>
      <c r="Y164" s="213" t="s">
        <v>4999</v>
      </c>
      <c r="Z164" s="213" t="s">
        <v>3634</v>
      </c>
      <c r="AA164" s="213">
        <v>55</v>
      </c>
      <c r="AB164" s="213">
        <v>65</v>
      </c>
      <c r="AC164" s="207" t="s">
        <v>4530</v>
      </c>
      <c r="AD164"/>
      <c r="AE164" s="206"/>
      <c r="AF164" s="94"/>
      <c r="AG164" s="94"/>
      <c r="AH164" s="94"/>
      <c r="AI164" s="94"/>
      <c r="AJ164" s="94"/>
      <c r="AK164" s="94"/>
      <c r="AL164" s="94"/>
      <c r="AM164" s="254"/>
      <c r="AN164" s="254"/>
      <c r="AO164" s="94"/>
      <c r="AP164" s="94"/>
      <c r="AQ164" s="94"/>
      <c r="AR164" s="94"/>
      <c r="AS164" s="207"/>
      <c r="BE164" s="2" t="s">
        <v>3070</v>
      </c>
      <c r="BF164" s="2" t="s">
        <v>368</v>
      </c>
      <c r="BG164" s="2" t="s">
        <v>4931</v>
      </c>
      <c r="BH164" s="124">
        <v>9113</v>
      </c>
      <c r="BI164" s="19"/>
      <c r="BK164" s="19" t="s">
        <v>4129</v>
      </c>
      <c r="BN164" s="261"/>
    </row>
    <row r="165" spans="13:66" ht="12.75">
      <c r="M165" s="104"/>
      <c r="O165" s="206" t="s">
        <v>2420</v>
      </c>
      <c r="P165" s="94" t="s">
        <v>4477</v>
      </c>
      <c r="Q165" s="180">
        <v>122809</v>
      </c>
      <c r="R165" s="258">
        <v>1250</v>
      </c>
      <c r="S165" s="259">
        <v>65</v>
      </c>
      <c r="T165" s="213" t="s">
        <v>4997</v>
      </c>
      <c r="U165" s="213">
        <v>4</v>
      </c>
      <c r="V165" s="213" t="s">
        <v>3439</v>
      </c>
      <c r="W165" s="213" t="s">
        <v>3361</v>
      </c>
      <c r="X165" s="213" t="s">
        <v>3441</v>
      </c>
      <c r="Y165" s="213" t="s">
        <v>4996</v>
      </c>
      <c r="Z165" s="213" t="s">
        <v>3634</v>
      </c>
      <c r="AA165" s="213">
        <v>55</v>
      </c>
      <c r="AB165" s="213">
        <v>65</v>
      </c>
      <c r="AC165" s="207" t="s">
        <v>4530</v>
      </c>
      <c r="AD165"/>
      <c r="AE165" s="206"/>
      <c r="AF165" s="94"/>
      <c r="AG165" s="94"/>
      <c r="AH165" s="94"/>
      <c r="AI165" s="94"/>
      <c r="AJ165" s="94"/>
      <c r="AK165" s="94"/>
      <c r="AL165" s="94"/>
      <c r="AM165" s="254"/>
      <c r="AN165" s="254"/>
      <c r="AO165" s="94"/>
      <c r="AP165" s="94"/>
      <c r="AQ165" s="94"/>
      <c r="AR165" s="94"/>
      <c r="AS165" s="207"/>
      <c r="BE165" s="2" t="s">
        <v>3070</v>
      </c>
      <c r="BF165" s="2" t="s">
        <v>369</v>
      </c>
      <c r="BG165" s="2" t="s">
        <v>4932</v>
      </c>
      <c r="BH165" s="124">
        <v>14060</v>
      </c>
      <c r="BI165" s="19"/>
      <c r="BK165" s="19" t="s">
        <v>4129</v>
      </c>
      <c r="BN165" s="261"/>
    </row>
    <row r="166" spans="13:66" ht="12.75">
      <c r="M166" s="104"/>
      <c r="O166" s="206" t="s">
        <v>2423</v>
      </c>
      <c r="P166" s="94" t="s">
        <v>1546</v>
      </c>
      <c r="Q166" s="180">
        <v>154235</v>
      </c>
      <c r="R166" s="258">
        <v>1250</v>
      </c>
      <c r="S166" s="259">
        <v>65</v>
      </c>
      <c r="T166" s="213" t="s">
        <v>4997</v>
      </c>
      <c r="U166" s="213">
        <v>4</v>
      </c>
      <c r="V166" s="213" t="s">
        <v>3439</v>
      </c>
      <c r="W166" s="213" t="s">
        <v>3361</v>
      </c>
      <c r="X166" s="213" t="s">
        <v>3445</v>
      </c>
      <c r="Y166" s="213" t="s">
        <v>4999</v>
      </c>
      <c r="Z166" s="213" t="s">
        <v>3634</v>
      </c>
      <c r="AA166" s="213">
        <v>55</v>
      </c>
      <c r="AB166" s="213">
        <v>65</v>
      </c>
      <c r="AC166" s="207" t="s">
        <v>4530</v>
      </c>
      <c r="AD166"/>
      <c r="AE166" s="206"/>
      <c r="AF166" s="94"/>
      <c r="AG166" s="94"/>
      <c r="AH166" s="94"/>
      <c r="AI166" s="94"/>
      <c r="AJ166" s="94"/>
      <c r="AK166" s="94"/>
      <c r="AL166" s="94"/>
      <c r="AM166" s="254"/>
      <c r="AN166" s="254"/>
      <c r="AO166" s="94"/>
      <c r="AP166" s="94"/>
      <c r="AQ166" s="94"/>
      <c r="AR166" s="94"/>
      <c r="AS166" s="207"/>
      <c r="BE166" s="2" t="s">
        <v>3070</v>
      </c>
      <c r="BF166" s="2" t="s">
        <v>370</v>
      </c>
      <c r="BG166" s="2" t="s">
        <v>4933</v>
      </c>
      <c r="BH166" s="124">
        <v>18397</v>
      </c>
      <c r="BI166" s="19"/>
      <c r="BK166" s="19" t="s">
        <v>4129</v>
      </c>
      <c r="BN166" s="261"/>
    </row>
    <row r="167" spans="13:66" ht="12.75">
      <c r="M167" s="104"/>
      <c r="O167" s="206" t="s">
        <v>647</v>
      </c>
      <c r="P167" s="94" t="s">
        <v>1549</v>
      </c>
      <c r="Q167" s="180">
        <v>147018</v>
      </c>
      <c r="R167" s="258">
        <v>1250</v>
      </c>
      <c r="S167" s="259">
        <v>65</v>
      </c>
      <c r="T167" s="213" t="s">
        <v>4997</v>
      </c>
      <c r="U167" s="213">
        <v>4</v>
      </c>
      <c r="V167" s="213" t="s">
        <v>3439</v>
      </c>
      <c r="W167" s="213" t="s">
        <v>3361</v>
      </c>
      <c r="X167" s="213" t="s">
        <v>3445</v>
      </c>
      <c r="Y167" s="213" t="s">
        <v>4996</v>
      </c>
      <c r="Z167" s="213" t="s">
        <v>3634</v>
      </c>
      <c r="AA167" s="213">
        <v>55</v>
      </c>
      <c r="AB167" s="213">
        <v>65</v>
      </c>
      <c r="AC167" s="207" t="s">
        <v>4530</v>
      </c>
      <c r="AD167"/>
      <c r="AE167" s="206"/>
      <c r="AF167" s="94"/>
      <c r="AG167" s="94"/>
      <c r="AH167" s="94"/>
      <c r="AI167" s="94"/>
      <c r="AJ167" s="94"/>
      <c r="AK167" s="94"/>
      <c r="AL167" s="94"/>
      <c r="AM167" s="254"/>
      <c r="AN167" s="254"/>
      <c r="AO167" s="94"/>
      <c r="AP167" s="94"/>
      <c r="AQ167" s="94"/>
      <c r="AR167" s="94"/>
      <c r="AS167" s="207"/>
      <c r="BE167" s="2" t="s">
        <v>3070</v>
      </c>
      <c r="BF167" s="2" t="s">
        <v>782</v>
      </c>
      <c r="BG167" s="2" t="s">
        <v>4949</v>
      </c>
      <c r="BH167" s="124">
        <v>6199</v>
      </c>
      <c r="BI167" s="19"/>
      <c r="BK167" s="19" t="s">
        <v>4126</v>
      </c>
      <c r="BN167" s="261"/>
    </row>
    <row r="168" spans="13:66" ht="12.75">
      <c r="M168" s="104"/>
      <c r="O168" s="206" t="s">
        <v>650</v>
      </c>
      <c r="P168" s="94" t="s">
        <v>1396</v>
      </c>
      <c r="Q168" s="180">
        <v>151347</v>
      </c>
      <c r="R168" s="258">
        <v>1250</v>
      </c>
      <c r="S168" s="259" t="s">
        <v>5004</v>
      </c>
      <c r="T168" s="213" t="s">
        <v>4997</v>
      </c>
      <c r="U168" s="213">
        <v>4</v>
      </c>
      <c r="V168" s="213" t="s">
        <v>3439</v>
      </c>
      <c r="W168" s="213" t="s">
        <v>3361</v>
      </c>
      <c r="X168" s="213" t="s">
        <v>3441</v>
      </c>
      <c r="Y168" s="213" t="s">
        <v>4995</v>
      </c>
      <c r="Z168" s="213" t="s">
        <v>3650</v>
      </c>
      <c r="AA168" s="213">
        <v>10</v>
      </c>
      <c r="AB168" s="213">
        <v>130</v>
      </c>
      <c r="AC168" s="207" t="s">
        <v>3651</v>
      </c>
      <c r="AD168"/>
      <c r="AE168" s="206"/>
      <c r="AF168" s="94"/>
      <c r="AG168" s="94"/>
      <c r="AH168" s="94"/>
      <c r="AI168" s="94"/>
      <c r="AJ168" s="94"/>
      <c r="AK168" s="94"/>
      <c r="AL168" s="94"/>
      <c r="AM168" s="254"/>
      <c r="AN168" s="254"/>
      <c r="AO168" s="94"/>
      <c r="AP168" s="94"/>
      <c r="AQ168" s="94"/>
      <c r="AR168" s="94"/>
      <c r="AS168" s="207"/>
      <c r="BE168" s="2" t="s">
        <v>3070</v>
      </c>
      <c r="BF168" s="2" t="s">
        <v>783</v>
      </c>
      <c r="BG168" s="2" t="s">
        <v>4940</v>
      </c>
      <c r="BH168" s="124">
        <v>7300</v>
      </c>
      <c r="BI168" s="19"/>
      <c r="BK168" s="19" t="s">
        <v>4126</v>
      </c>
      <c r="BN168" s="261"/>
    </row>
    <row r="169" spans="13:66" ht="12.75">
      <c r="M169" s="104"/>
      <c r="O169" s="206" t="s">
        <v>653</v>
      </c>
      <c r="P169" s="94" t="s">
        <v>1399</v>
      </c>
      <c r="Q169" s="180">
        <v>164194</v>
      </c>
      <c r="R169" s="258">
        <v>1250</v>
      </c>
      <c r="S169" s="259" t="s">
        <v>5004</v>
      </c>
      <c r="T169" s="213" t="s">
        <v>4997</v>
      </c>
      <c r="U169" s="213">
        <v>4</v>
      </c>
      <c r="V169" s="213" t="s">
        <v>3439</v>
      </c>
      <c r="W169" s="213" t="s">
        <v>3361</v>
      </c>
      <c r="X169" s="213" t="s">
        <v>3441</v>
      </c>
      <c r="Y169" s="213" t="s">
        <v>4999</v>
      </c>
      <c r="Z169" s="213" t="s">
        <v>3650</v>
      </c>
      <c r="AA169" s="213">
        <v>10</v>
      </c>
      <c r="AB169" s="213">
        <v>130</v>
      </c>
      <c r="AC169" s="207" t="s">
        <v>3651</v>
      </c>
      <c r="AD169"/>
      <c r="AE169" s="206"/>
      <c r="AF169" s="94"/>
      <c r="AG169" s="94"/>
      <c r="AH169" s="94"/>
      <c r="AI169" s="94"/>
      <c r="AJ169" s="94"/>
      <c r="AK169" s="94"/>
      <c r="AL169" s="94"/>
      <c r="AM169" s="254"/>
      <c r="AN169" s="254"/>
      <c r="AO169" s="94"/>
      <c r="AP169" s="94"/>
      <c r="AQ169" s="94"/>
      <c r="AR169" s="94"/>
      <c r="AS169" s="207"/>
      <c r="BE169" s="2" t="s">
        <v>3070</v>
      </c>
      <c r="BF169" s="2" t="s">
        <v>784</v>
      </c>
      <c r="BG169" s="2" t="s">
        <v>4941</v>
      </c>
      <c r="BH169" s="124">
        <v>11196</v>
      </c>
      <c r="BI169" s="19"/>
      <c r="BK169" s="19" t="s">
        <v>4126</v>
      </c>
      <c r="BN169" s="261"/>
    </row>
    <row r="170" spans="13:66" ht="12.75">
      <c r="M170" s="104"/>
      <c r="O170" s="206" t="s">
        <v>656</v>
      </c>
      <c r="P170" s="94" t="s">
        <v>1402</v>
      </c>
      <c r="Q170" s="180">
        <v>156978</v>
      </c>
      <c r="R170" s="258">
        <v>1250</v>
      </c>
      <c r="S170" s="259" t="s">
        <v>5004</v>
      </c>
      <c r="T170" s="213" t="s">
        <v>4997</v>
      </c>
      <c r="U170" s="213">
        <v>4</v>
      </c>
      <c r="V170" s="213" t="s">
        <v>3439</v>
      </c>
      <c r="W170" s="213" t="s">
        <v>3361</v>
      </c>
      <c r="X170" s="213" t="s">
        <v>3441</v>
      </c>
      <c r="Y170" s="213" t="s">
        <v>4996</v>
      </c>
      <c r="Z170" s="213" t="s">
        <v>3650</v>
      </c>
      <c r="AA170" s="213">
        <v>10</v>
      </c>
      <c r="AB170" s="213">
        <v>130</v>
      </c>
      <c r="AC170" s="207" t="s">
        <v>3651</v>
      </c>
      <c r="AD170"/>
      <c r="AE170" s="206"/>
      <c r="AF170" s="94"/>
      <c r="AG170" s="94"/>
      <c r="AH170" s="94"/>
      <c r="AI170" s="94"/>
      <c r="AJ170" s="94"/>
      <c r="AK170" s="94"/>
      <c r="AL170" s="94"/>
      <c r="AM170" s="254"/>
      <c r="AN170" s="254"/>
      <c r="AO170" s="94"/>
      <c r="AP170" s="94"/>
      <c r="AQ170" s="94"/>
      <c r="AR170" s="94"/>
      <c r="AS170" s="207"/>
      <c r="BE170" s="2" t="s">
        <v>3070</v>
      </c>
      <c r="BF170" s="2" t="s">
        <v>785</v>
      </c>
      <c r="BG170" s="2" t="s">
        <v>4942</v>
      </c>
      <c r="BH170" s="124">
        <v>16118</v>
      </c>
      <c r="BI170" s="19"/>
      <c r="BK170" s="19" t="s">
        <v>4126</v>
      </c>
      <c r="BN170" s="261"/>
    </row>
    <row r="171" spans="13:66" ht="12.75">
      <c r="M171" s="104"/>
      <c r="O171" s="206" t="s">
        <v>659</v>
      </c>
      <c r="P171" s="94" t="s">
        <v>1566</v>
      </c>
      <c r="Q171" s="180">
        <v>188403</v>
      </c>
      <c r="R171" s="258">
        <v>1250</v>
      </c>
      <c r="S171" s="259" t="s">
        <v>5004</v>
      </c>
      <c r="T171" s="213" t="s">
        <v>4997</v>
      </c>
      <c r="U171" s="213">
        <v>4</v>
      </c>
      <c r="V171" s="213" t="s">
        <v>3439</v>
      </c>
      <c r="W171" s="213" t="s">
        <v>3361</v>
      </c>
      <c r="X171" s="213" t="s">
        <v>3445</v>
      </c>
      <c r="Y171" s="213" t="s">
        <v>4999</v>
      </c>
      <c r="Z171" s="213" t="s">
        <v>3650</v>
      </c>
      <c r="AA171" s="213">
        <v>10</v>
      </c>
      <c r="AB171" s="213">
        <v>130</v>
      </c>
      <c r="AC171" s="207" t="s">
        <v>3651</v>
      </c>
      <c r="AD171"/>
      <c r="AE171" s="206"/>
      <c r="AF171" s="94"/>
      <c r="AG171" s="94"/>
      <c r="AH171" s="94"/>
      <c r="AI171" s="94"/>
      <c r="AJ171" s="94"/>
      <c r="AK171" s="94"/>
      <c r="AL171" s="94"/>
      <c r="AM171" s="254"/>
      <c r="AN171" s="254"/>
      <c r="AO171" s="94"/>
      <c r="AP171" s="94"/>
      <c r="AQ171" s="94"/>
      <c r="AR171" s="94"/>
      <c r="AS171" s="207"/>
      <c r="BE171" s="2" t="s">
        <v>3070</v>
      </c>
      <c r="BF171" s="2" t="s">
        <v>786</v>
      </c>
      <c r="BG171" s="2" t="s">
        <v>4943</v>
      </c>
      <c r="BH171" s="124">
        <v>20454</v>
      </c>
      <c r="BI171" s="19"/>
      <c r="BK171" s="19" t="s">
        <v>4126</v>
      </c>
      <c r="BN171" s="261"/>
    </row>
    <row r="172" spans="13:66" ht="12.75">
      <c r="M172" s="104"/>
      <c r="O172" s="206" t="s">
        <v>662</v>
      </c>
      <c r="P172" s="94" t="s">
        <v>1569</v>
      </c>
      <c r="Q172" s="180">
        <v>181186</v>
      </c>
      <c r="R172" s="258">
        <v>1250</v>
      </c>
      <c r="S172" s="259" t="s">
        <v>5004</v>
      </c>
      <c r="T172" s="213" t="s">
        <v>4997</v>
      </c>
      <c r="U172" s="213">
        <v>4</v>
      </c>
      <c r="V172" s="213" t="s">
        <v>3439</v>
      </c>
      <c r="W172" s="213" t="s">
        <v>3361</v>
      </c>
      <c r="X172" s="213" t="s">
        <v>3445</v>
      </c>
      <c r="Y172" s="213" t="s">
        <v>4996</v>
      </c>
      <c r="Z172" s="213" t="s">
        <v>3650</v>
      </c>
      <c r="AA172" s="213">
        <v>10</v>
      </c>
      <c r="AB172" s="213">
        <v>130</v>
      </c>
      <c r="AC172" s="207" t="s">
        <v>3651</v>
      </c>
      <c r="AD172"/>
      <c r="AE172" s="206"/>
      <c r="AF172" s="94"/>
      <c r="AG172" s="94"/>
      <c r="AH172" s="94"/>
      <c r="AI172" s="94"/>
      <c r="AJ172" s="94"/>
      <c r="AK172" s="94"/>
      <c r="AL172" s="94"/>
      <c r="AM172" s="254"/>
      <c r="AN172" s="254"/>
      <c r="AO172" s="94"/>
      <c r="AP172" s="94"/>
      <c r="AQ172" s="94"/>
      <c r="AR172" s="94"/>
      <c r="AS172" s="207"/>
      <c r="BE172" s="2" t="s">
        <v>3070</v>
      </c>
      <c r="BF172" s="2" t="s">
        <v>371</v>
      </c>
      <c r="BG172" s="2" t="s">
        <v>4934</v>
      </c>
      <c r="BH172" s="124">
        <v>4555</v>
      </c>
      <c r="BI172" s="19"/>
      <c r="BK172" s="19" t="s">
        <v>4129</v>
      </c>
      <c r="BN172" s="261"/>
    </row>
    <row r="173" spans="13:66" ht="12.75">
      <c r="M173" s="104"/>
      <c r="O173" s="206" t="s">
        <v>665</v>
      </c>
      <c r="P173" s="94" t="s">
        <v>1572</v>
      </c>
      <c r="Q173" s="180">
        <v>122750</v>
      </c>
      <c r="R173" s="258">
        <v>1600</v>
      </c>
      <c r="S173" s="259">
        <v>42</v>
      </c>
      <c r="T173" s="213" t="s">
        <v>4997</v>
      </c>
      <c r="U173" s="213">
        <v>4</v>
      </c>
      <c r="V173" s="213" t="s">
        <v>3439</v>
      </c>
      <c r="W173" s="213" t="s">
        <v>3361</v>
      </c>
      <c r="X173" s="213" t="s">
        <v>3441</v>
      </c>
      <c r="Y173" s="213" t="s">
        <v>4995</v>
      </c>
      <c r="Z173" s="213" t="s">
        <v>3670</v>
      </c>
      <c r="AA173" s="213">
        <v>42</v>
      </c>
      <c r="AB173" s="213">
        <v>42</v>
      </c>
      <c r="AC173" s="207" t="s">
        <v>4530</v>
      </c>
      <c r="AD173"/>
      <c r="AE173" s="206"/>
      <c r="AF173" s="94"/>
      <c r="AG173" s="94"/>
      <c r="AH173" s="94"/>
      <c r="AI173" s="94"/>
      <c r="AJ173" s="94"/>
      <c r="AK173" s="94"/>
      <c r="AL173" s="94"/>
      <c r="AM173" s="254"/>
      <c r="AN173" s="254"/>
      <c r="AO173" s="94"/>
      <c r="AP173" s="94"/>
      <c r="AQ173" s="94"/>
      <c r="AR173" s="94"/>
      <c r="AS173" s="207"/>
      <c r="BE173" s="2" t="s">
        <v>3070</v>
      </c>
      <c r="BF173" s="2" t="s">
        <v>372</v>
      </c>
      <c r="BG173" s="2" t="s">
        <v>4935</v>
      </c>
      <c r="BH173" s="124">
        <v>4532</v>
      </c>
      <c r="BI173" s="19"/>
      <c r="BK173" s="19" t="s">
        <v>4129</v>
      </c>
      <c r="BN173" s="261"/>
    </row>
    <row r="174" spans="13:66" ht="12.75">
      <c r="M174" s="104"/>
      <c r="O174" s="206" t="s">
        <v>668</v>
      </c>
      <c r="P174" s="94" t="s">
        <v>1575</v>
      </c>
      <c r="Q174" s="180">
        <v>135595</v>
      </c>
      <c r="R174" s="258">
        <v>1600</v>
      </c>
      <c r="S174" s="259">
        <v>42</v>
      </c>
      <c r="T174" s="213" t="s">
        <v>4997</v>
      </c>
      <c r="U174" s="213">
        <v>4</v>
      </c>
      <c r="V174" s="213" t="s">
        <v>3439</v>
      </c>
      <c r="W174" s="213" t="s">
        <v>3361</v>
      </c>
      <c r="X174" s="213" t="s">
        <v>3441</v>
      </c>
      <c r="Y174" s="213" t="s">
        <v>4999</v>
      </c>
      <c r="Z174" s="213" t="s">
        <v>3670</v>
      </c>
      <c r="AA174" s="213">
        <v>42</v>
      </c>
      <c r="AB174" s="213">
        <v>42</v>
      </c>
      <c r="AC174" s="207" t="s">
        <v>4530</v>
      </c>
      <c r="AD174"/>
      <c r="AE174" s="206"/>
      <c r="AF174" s="94"/>
      <c r="AG174" s="94"/>
      <c r="AH174" s="94"/>
      <c r="AI174" s="94"/>
      <c r="AJ174" s="94"/>
      <c r="AK174" s="94"/>
      <c r="AL174" s="94"/>
      <c r="AM174" s="254"/>
      <c r="AN174" s="254"/>
      <c r="AO174" s="94"/>
      <c r="AP174" s="94"/>
      <c r="AQ174" s="94"/>
      <c r="AR174" s="94"/>
      <c r="AS174" s="207"/>
      <c r="BE174" s="2" t="s">
        <v>3070</v>
      </c>
      <c r="BF174" s="2" t="s">
        <v>373</v>
      </c>
      <c r="BG174" s="2" t="s">
        <v>4936</v>
      </c>
      <c r="BH174" s="124">
        <v>12150</v>
      </c>
      <c r="BI174" s="19"/>
      <c r="BK174" s="19" t="s">
        <v>4129</v>
      </c>
      <c r="BN174" s="261"/>
    </row>
    <row r="175" spans="13:66" ht="12.75">
      <c r="M175" s="104"/>
      <c r="O175" s="206" t="s">
        <v>671</v>
      </c>
      <c r="P175" s="94" t="s">
        <v>1578</v>
      </c>
      <c r="Q175" s="180">
        <v>128379</v>
      </c>
      <c r="R175" s="258">
        <v>1600</v>
      </c>
      <c r="S175" s="259">
        <v>42</v>
      </c>
      <c r="T175" s="213" t="s">
        <v>4997</v>
      </c>
      <c r="U175" s="213">
        <v>4</v>
      </c>
      <c r="V175" s="213" t="s">
        <v>3439</v>
      </c>
      <c r="W175" s="213" t="s">
        <v>3361</v>
      </c>
      <c r="X175" s="213" t="s">
        <v>3441</v>
      </c>
      <c r="Y175" s="213" t="s">
        <v>4996</v>
      </c>
      <c r="Z175" s="213" t="s">
        <v>3670</v>
      </c>
      <c r="AA175" s="213">
        <v>42</v>
      </c>
      <c r="AB175" s="213">
        <v>42</v>
      </c>
      <c r="AC175" s="207" t="s">
        <v>4530</v>
      </c>
      <c r="AD175"/>
      <c r="AE175" s="206"/>
      <c r="AF175" s="94"/>
      <c r="AG175" s="94"/>
      <c r="AH175" s="94"/>
      <c r="AI175" s="94"/>
      <c r="AJ175" s="94"/>
      <c r="AK175" s="94"/>
      <c r="AL175" s="94"/>
      <c r="AM175" s="254"/>
      <c r="AN175" s="254"/>
      <c r="AO175" s="94"/>
      <c r="AP175" s="94"/>
      <c r="AQ175" s="94"/>
      <c r="AR175" s="94"/>
      <c r="AS175" s="207"/>
      <c r="BE175" s="2" t="s">
        <v>3070</v>
      </c>
      <c r="BF175" s="2" t="s">
        <v>780</v>
      </c>
      <c r="BG175" s="2" t="s">
        <v>4937</v>
      </c>
      <c r="BH175" s="124">
        <v>18666</v>
      </c>
      <c r="BI175" s="19"/>
      <c r="BK175" s="19" t="s">
        <v>4129</v>
      </c>
      <c r="BN175" s="261"/>
    </row>
    <row r="176" spans="13:66" ht="12.75">
      <c r="M176" s="104"/>
      <c r="O176" s="206" t="s">
        <v>674</v>
      </c>
      <c r="P176" s="94" t="s">
        <v>1581</v>
      </c>
      <c r="Q176" s="180">
        <v>159806</v>
      </c>
      <c r="R176" s="258">
        <v>1600</v>
      </c>
      <c r="S176" s="259">
        <v>42</v>
      </c>
      <c r="T176" s="213" t="s">
        <v>4997</v>
      </c>
      <c r="U176" s="213">
        <v>4</v>
      </c>
      <c r="V176" s="213" t="s">
        <v>3439</v>
      </c>
      <c r="W176" s="213" t="s">
        <v>3361</v>
      </c>
      <c r="X176" s="213" t="s">
        <v>3445</v>
      </c>
      <c r="Y176" s="213" t="s">
        <v>4999</v>
      </c>
      <c r="Z176" s="213" t="s">
        <v>3670</v>
      </c>
      <c r="AA176" s="213">
        <v>42</v>
      </c>
      <c r="AB176" s="213">
        <v>42</v>
      </c>
      <c r="AC176" s="207" t="s">
        <v>4530</v>
      </c>
      <c r="AD176"/>
      <c r="AE176" s="206"/>
      <c r="AF176" s="94"/>
      <c r="AG176" s="94"/>
      <c r="AH176" s="94"/>
      <c r="AI176" s="94"/>
      <c r="AJ176" s="94"/>
      <c r="AK176" s="94"/>
      <c r="AL176" s="94"/>
      <c r="AM176" s="254"/>
      <c r="AN176" s="254"/>
      <c r="AO176" s="94"/>
      <c r="AP176" s="94"/>
      <c r="AQ176" s="94"/>
      <c r="AR176" s="94"/>
      <c r="AS176" s="207"/>
      <c r="BE176" s="2" t="s">
        <v>3070</v>
      </c>
      <c r="BF176" s="2" t="s">
        <v>781</v>
      </c>
      <c r="BG176" s="2" t="s">
        <v>4938</v>
      </c>
      <c r="BH176" s="124">
        <v>23420</v>
      </c>
      <c r="BI176" s="19"/>
      <c r="BK176" s="19" t="s">
        <v>4129</v>
      </c>
      <c r="BN176" s="261"/>
    </row>
    <row r="177" spans="13:66" ht="12.75">
      <c r="M177" s="104"/>
      <c r="O177" s="206" t="s">
        <v>3032</v>
      </c>
      <c r="P177" s="94" t="s">
        <v>1584</v>
      </c>
      <c r="Q177" s="180">
        <v>152588</v>
      </c>
      <c r="R177" s="258">
        <v>1600</v>
      </c>
      <c r="S177" s="259">
        <v>42</v>
      </c>
      <c r="T177" s="213" t="s">
        <v>4997</v>
      </c>
      <c r="U177" s="213">
        <v>4</v>
      </c>
      <c r="V177" s="213" t="s">
        <v>3439</v>
      </c>
      <c r="W177" s="213" t="s">
        <v>3361</v>
      </c>
      <c r="X177" s="213" t="s">
        <v>3445</v>
      </c>
      <c r="Y177" s="213" t="s">
        <v>4996</v>
      </c>
      <c r="Z177" s="213" t="s">
        <v>3670</v>
      </c>
      <c r="AA177" s="213">
        <v>42</v>
      </c>
      <c r="AB177" s="213">
        <v>42</v>
      </c>
      <c r="AC177" s="207" t="s">
        <v>4530</v>
      </c>
      <c r="AD177"/>
      <c r="AE177" s="206"/>
      <c r="AF177" s="94"/>
      <c r="AG177" s="94"/>
      <c r="AH177" s="94"/>
      <c r="AI177" s="94"/>
      <c r="AJ177" s="94"/>
      <c r="AK177" s="94"/>
      <c r="AL177" s="94"/>
      <c r="AM177" s="254"/>
      <c r="AN177" s="254"/>
      <c r="AO177" s="94"/>
      <c r="AP177" s="94"/>
      <c r="AQ177" s="94"/>
      <c r="AR177" s="94"/>
      <c r="AS177" s="207"/>
      <c r="BE177" s="2" t="s">
        <v>3070</v>
      </c>
      <c r="BF177" s="2" t="s">
        <v>787</v>
      </c>
      <c r="BG177" s="2" t="s">
        <v>4944</v>
      </c>
      <c r="BH177" s="124">
        <v>8328</v>
      </c>
      <c r="BI177" s="19"/>
      <c r="BK177" s="19" t="s">
        <v>4126</v>
      </c>
      <c r="BN177" s="261"/>
    </row>
    <row r="178" spans="13:66" ht="12.75">
      <c r="M178" s="104"/>
      <c r="O178" s="206" t="s">
        <v>3035</v>
      </c>
      <c r="P178" s="94" t="s">
        <v>1587</v>
      </c>
      <c r="Q178" s="180">
        <v>140935</v>
      </c>
      <c r="R178" s="258">
        <v>1600</v>
      </c>
      <c r="S178" s="259">
        <v>65</v>
      </c>
      <c r="T178" s="213" t="s">
        <v>4997</v>
      </c>
      <c r="U178" s="213">
        <v>4</v>
      </c>
      <c r="V178" s="213" t="s">
        <v>3439</v>
      </c>
      <c r="W178" s="213" t="s">
        <v>3361</v>
      </c>
      <c r="X178" s="213" t="s">
        <v>3441</v>
      </c>
      <c r="Y178" s="213" t="s">
        <v>4995</v>
      </c>
      <c r="Z178" s="213" t="s">
        <v>3634</v>
      </c>
      <c r="AA178" s="213">
        <v>55</v>
      </c>
      <c r="AB178" s="213">
        <v>65</v>
      </c>
      <c r="AC178" s="207" t="s">
        <v>4530</v>
      </c>
      <c r="AD178"/>
      <c r="AE178" s="206"/>
      <c r="AF178" s="94"/>
      <c r="AG178" s="94"/>
      <c r="AH178" s="94"/>
      <c r="AI178" s="94"/>
      <c r="AJ178" s="94"/>
      <c r="AK178" s="94"/>
      <c r="AL178" s="94"/>
      <c r="AM178" s="254"/>
      <c r="AN178" s="254"/>
      <c r="AO178" s="94"/>
      <c r="AP178" s="94"/>
      <c r="AQ178" s="94"/>
      <c r="AR178" s="94"/>
      <c r="AS178" s="207"/>
      <c r="BE178" s="2" t="s">
        <v>3070</v>
      </c>
      <c r="BF178" s="2" t="s">
        <v>788</v>
      </c>
      <c r="BG178" s="2" t="s">
        <v>4945</v>
      </c>
      <c r="BH178" s="124">
        <v>9750</v>
      </c>
      <c r="BI178" s="19"/>
      <c r="BK178" s="19" t="s">
        <v>4126</v>
      </c>
      <c r="BN178" s="261"/>
    </row>
    <row r="179" spans="13:66" ht="12.75">
      <c r="M179" s="104"/>
      <c r="O179" s="206" t="s">
        <v>3038</v>
      </c>
      <c r="P179" s="94" t="s">
        <v>1590</v>
      </c>
      <c r="Q179" s="180">
        <v>153782</v>
      </c>
      <c r="R179" s="258">
        <v>1600</v>
      </c>
      <c r="S179" s="259">
        <v>65</v>
      </c>
      <c r="T179" s="213" t="s">
        <v>4997</v>
      </c>
      <c r="U179" s="213">
        <v>4</v>
      </c>
      <c r="V179" s="213" t="s">
        <v>3439</v>
      </c>
      <c r="W179" s="213" t="s">
        <v>3361</v>
      </c>
      <c r="X179" s="213" t="s">
        <v>3441</v>
      </c>
      <c r="Y179" s="213" t="s">
        <v>4999</v>
      </c>
      <c r="Z179" s="213" t="s">
        <v>3634</v>
      </c>
      <c r="AA179" s="213">
        <v>55</v>
      </c>
      <c r="AB179" s="213">
        <v>65</v>
      </c>
      <c r="AC179" s="207" t="s">
        <v>4530</v>
      </c>
      <c r="AD179"/>
      <c r="AE179" s="206"/>
      <c r="AF179" s="94"/>
      <c r="AG179" s="94"/>
      <c r="AH179" s="94"/>
      <c r="AI179" s="94"/>
      <c r="AJ179" s="94"/>
      <c r="AK179" s="94"/>
      <c r="AL179" s="94"/>
      <c r="AM179" s="254"/>
      <c r="AN179" s="254"/>
      <c r="AO179" s="94"/>
      <c r="AP179" s="94"/>
      <c r="AQ179" s="94"/>
      <c r="AR179" s="94"/>
      <c r="AS179" s="207"/>
      <c r="BE179" s="2" t="s">
        <v>3070</v>
      </c>
      <c r="BF179" s="2" t="s">
        <v>789</v>
      </c>
      <c r="BG179" s="2" t="s">
        <v>4946</v>
      </c>
      <c r="BH179" s="124">
        <v>14894</v>
      </c>
      <c r="BI179" s="19"/>
      <c r="BK179" s="19" t="s">
        <v>4126</v>
      </c>
      <c r="BN179" s="261"/>
    </row>
    <row r="180" spans="13:66" ht="12.75">
      <c r="M180" s="104"/>
      <c r="O180" s="206" t="s">
        <v>3041</v>
      </c>
      <c r="P180" s="94" t="s">
        <v>1612</v>
      </c>
      <c r="Q180" s="180">
        <v>146565</v>
      </c>
      <c r="R180" s="258">
        <v>1600</v>
      </c>
      <c r="S180" s="259">
        <v>65</v>
      </c>
      <c r="T180" s="213" t="s">
        <v>4997</v>
      </c>
      <c r="U180" s="213">
        <v>4</v>
      </c>
      <c r="V180" s="213" t="s">
        <v>3439</v>
      </c>
      <c r="W180" s="213" t="s">
        <v>3361</v>
      </c>
      <c r="X180" s="213" t="s">
        <v>3441</v>
      </c>
      <c r="Y180" s="213" t="s">
        <v>4996</v>
      </c>
      <c r="Z180" s="213" t="s">
        <v>3634</v>
      </c>
      <c r="AA180" s="213">
        <v>55</v>
      </c>
      <c r="AB180" s="213">
        <v>65</v>
      </c>
      <c r="AC180" s="207" t="s">
        <v>4530</v>
      </c>
      <c r="AD180"/>
      <c r="AE180" s="206"/>
      <c r="AF180" s="94"/>
      <c r="AG180" s="94"/>
      <c r="AH180" s="94"/>
      <c r="AI180" s="94"/>
      <c r="AJ180" s="94"/>
      <c r="AK180" s="94"/>
      <c r="AL180" s="94"/>
      <c r="AM180" s="254"/>
      <c r="AN180" s="254"/>
      <c r="AO180" s="94"/>
      <c r="AP180" s="94"/>
      <c r="AQ180" s="94"/>
      <c r="AR180" s="94"/>
      <c r="AS180" s="207"/>
      <c r="BE180" s="2" t="s">
        <v>3070</v>
      </c>
      <c r="BF180" s="2" t="s">
        <v>790</v>
      </c>
      <c r="BG180" s="2" t="s">
        <v>4947</v>
      </c>
      <c r="BH180" s="124">
        <v>21384</v>
      </c>
      <c r="BI180" s="19"/>
      <c r="BK180" s="19" t="s">
        <v>4126</v>
      </c>
      <c r="BN180" s="261"/>
    </row>
    <row r="181" spans="13:66" ht="12.75">
      <c r="M181" s="104"/>
      <c r="O181" s="206" t="s">
        <v>3044</v>
      </c>
      <c r="P181" s="94" t="s">
        <v>1615</v>
      </c>
      <c r="Q181" s="180">
        <v>177992</v>
      </c>
      <c r="R181" s="258">
        <v>1600</v>
      </c>
      <c r="S181" s="259">
        <v>65</v>
      </c>
      <c r="T181" s="213" t="s">
        <v>4997</v>
      </c>
      <c r="U181" s="213">
        <v>4</v>
      </c>
      <c r="V181" s="213" t="s">
        <v>3439</v>
      </c>
      <c r="W181" s="213" t="s">
        <v>3361</v>
      </c>
      <c r="X181" s="213" t="s">
        <v>3445</v>
      </c>
      <c r="Y181" s="213" t="s">
        <v>4999</v>
      </c>
      <c r="Z181" s="213" t="s">
        <v>3634</v>
      </c>
      <c r="AA181" s="213">
        <v>55</v>
      </c>
      <c r="AB181" s="213">
        <v>65</v>
      </c>
      <c r="AC181" s="207" t="s">
        <v>4530</v>
      </c>
      <c r="AD181"/>
      <c r="AE181" s="206"/>
      <c r="AF181" s="94"/>
      <c r="AG181" s="94"/>
      <c r="AH181" s="94"/>
      <c r="AI181" s="94"/>
      <c r="AJ181" s="94"/>
      <c r="AK181" s="94"/>
      <c r="AL181" s="94"/>
      <c r="AM181" s="254"/>
      <c r="AN181" s="254"/>
      <c r="AO181" s="94"/>
      <c r="AP181" s="94"/>
      <c r="AQ181" s="94"/>
      <c r="AR181" s="94"/>
      <c r="AS181" s="207"/>
      <c r="BE181" s="2" t="s">
        <v>3070</v>
      </c>
      <c r="BF181" s="2" t="s">
        <v>791</v>
      </c>
      <c r="BG181" s="2" t="s">
        <v>4948</v>
      </c>
      <c r="BH181" s="124">
        <v>26161</v>
      </c>
      <c r="BI181" s="19"/>
      <c r="BK181" s="19" t="s">
        <v>4126</v>
      </c>
      <c r="BN181" s="261"/>
    </row>
    <row r="182" spans="13:63" ht="12.75">
      <c r="M182" s="104"/>
      <c r="O182" s="206" t="s">
        <v>3047</v>
      </c>
      <c r="P182" s="94" t="s">
        <v>1618</v>
      </c>
      <c r="Q182" s="180">
        <v>170774</v>
      </c>
      <c r="R182" s="258">
        <v>1600</v>
      </c>
      <c r="S182" s="259">
        <v>65</v>
      </c>
      <c r="T182" s="213" t="s">
        <v>4997</v>
      </c>
      <c r="U182" s="213">
        <v>4</v>
      </c>
      <c r="V182" s="213" t="s">
        <v>3439</v>
      </c>
      <c r="W182" s="213" t="s">
        <v>3361</v>
      </c>
      <c r="X182" s="213" t="s">
        <v>3445</v>
      </c>
      <c r="Y182" s="213" t="s">
        <v>4996</v>
      </c>
      <c r="Z182" s="213" t="s">
        <v>3634</v>
      </c>
      <c r="AA182" s="213">
        <v>55</v>
      </c>
      <c r="AB182" s="213">
        <v>65</v>
      </c>
      <c r="AC182" s="207" t="s">
        <v>4530</v>
      </c>
      <c r="AD182"/>
      <c r="AE182" s="206"/>
      <c r="AF182" s="94"/>
      <c r="AG182" s="94"/>
      <c r="AH182" s="94"/>
      <c r="AI182" s="94"/>
      <c r="AJ182" s="94"/>
      <c r="AK182" s="94"/>
      <c r="AL182" s="94"/>
      <c r="AM182" s="254"/>
      <c r="AN182" s="254"/>
      <c r="AO182" s="94"/>
      <c r="AP182" s="94"/>
      <c r="AQ182" s="94"/>
      <c r="AR182" s="94"/>
      <c r="AS182" s="207"/>
      <c r="BE182" s="2" t="s">
        <v>3070</v>
      </c>
      <c r="BF182" s="2" t="s">
        <v>3927</v>
      </c>
      <c r="BG182" s="2" t="s">
        <v>3910</v>
      </c>
      <c r="BH182" s="124">
        <v>50255</v>
      </c>
      <c r="BI182" s="19"/>
      <c r="BK182" s="19" t="s">
        <v>3920</v>
      </c>
    </row>
    <row r="183" spans="13:63" ht="12.75">
      <c r="M183" s="104"/>
      <c r="O183" s="206" t="s">
        <v>3050</v>
      </c>
      <c r="P183" s="94" t="s">
        <v>1621</v>
      </c>
      <c r="Q183" s="180">
        <v>193490</v>
      </c>
      <c r="R183" s="258">
        <v>1600</v>
      </c>
      <c r="S183" s="259" t="s">
        <v>5004</v>
      </c>
      <c r="T183" s="213" t="s">
        <v>4997</v>
      </c>
      <c r="U183" s="213">
        <v>4</v>
      </c>
      <c r="V183" s="213" t="s">
        <v>3439</v>
      </c>
      <c r="W183" s="213" t="s">
        <v>3361</v>
      </c>
      <c r="X183" s="213" t="s">
        <v>3441</v>
      </c>
      <c r="Y183" s="213" t="s">
        <v>4995</v>
      </c>
      <c r="Z183" s="213" t="s">
        <v>3650</v>
      </c>
      <c r="AA183" s="213">
        <v>10</v>
      </c>
      <c r="AB183" s="213">
        <v>130</v>
      </c>
      <c r="AC183" s="207" t="s">
        <v>3651</v>
      </c>
      <c r="AD183"/>
      <c r="AE183" s="206"/>
      <c r="AF183" s="94"/>
      <c r="AG183" s="94"/>
      <c r="AH183" s="94"/>
      <c r="AI183" s="94"/>
      <c r="AJ183" s="94"/>
      <c r="AK183" s="94"/>
      <c r="AL183" s="94"/>
      <c r="AM183" s="254"/>
      <c r="AN183" s="254"/>
      <c r="AO183" s="94"/>
      <c r="AP183" s="94"/>
      <c r="AQ183" s="94"/>
      <c r="AR183" s="94"/>
      <c r="AS183" s="207"/>
      <c r="BE183" s="2" t="s">
        <v>3070</v>
      </c>
      <c r="BF183" s="2" t="s">
        <v>3928</v>
      </c>
      <c r="BG183" s="2" t="s">
        <v>4540</v>
      </c>
      <c r="BH183" s="124">
        <v>53539</v>
      </c>
      <c r="BI183" s="19"/>
      <c r="BK183" s="19" t="s">
        <v>3920</v>
      </c>
    </row>
    <row r="184" spans="13:63" ht="12.75">
      <c r="M184" s="104"/>
      <c r="O184" s="206" t="s">
        <v>3053</v>
      </c>
      <c r="P184" s="94" t="s">
        <v>1624</v>
      </c>
      <c r="Q184" s="180">
        <v>206338</v>
      </c>
      <c r="R184" s="258">
        <v>1600</v>
      </c>
      <c r="S184" s="259" t="s">
        <v>5004</v>
      </c>
      <c r="T184" s="213" t="s">
        <v>4997</v>
      </c>
      <c r="U184" s="213">
        <v>4</v>
      </c>
      <c r="V184" s="213" t="s">
        <v>3439</v>
      </c>
      <c r="W184" s="213" t="s">
        <v>3361</v>
      </c>
      <c r="X184" s="213" t="s">
        <v>3441</v>
      </c>
      <c r="Y184" s="213" t="s">
        <v>4999</v>
      </c>
      <c r="Z184" s="213" t="s">
        <v>3650</v>
      </c>
      <c r="AA184" s="213">
        <v>10</v>
      </c>
      <c r="AB184" s="213">
        <v>130</v>
      </c>
      <c r="AC184" s="207" t="s">
        <v>3651</v>
      </c>
      <c r="AD184"/>
      <c r="AE184" s="206"/>
      <c r="AF184" s="94"/>
      <c r="AG184" s="94"/>
      <c r="AH184" s="94"/>
      <c r="AI184" s="94"/>
      <c r="AJ184" s="94"/>
      <c r="AK184" s="94"/>
      <c r="AL184" s="94"/>
      <c r="AM184" s="254"/>
      <c r="AN184" s="254"/>
      <c r="AO184" s="94"/>
      <c r="AP184" s="94"/>
      <c r="AQ184" s="94"/>
      <c r="AR184" s="94"/>
      <c r="AS184" s="207"/>
      <c r="BE184" s="2" t="s">
        <v>3070</v>
      </c>
      <c r="BF184" s="2" t="s">
        <v>3929</v>
      </c>
      <c r="BG184" s="2" t="s">
        <v>4541</v>
      </c>
      <c r="BH184" s="124">
        <v>50255</v>
      </c>
      <c r="BI184" s="19"/>
      <c r="BK184" s="19" t="s">
        <v>3921</v>
      </c>
    </row>
    <row r="185" spans="13:63" ht="12.75">
      <c r="M185" s="104"/>
      <c r="O185" s="206" t="s">
        <v>3056</v>
      </c>
      <c r="P185" s="94" t="s">
        <v>1627</v>
      </c>
      <c r="Q185" s="180">
        <v>199120</v>
      </c>
      <c r="R185" s="258">
        <v>1600</v>
      </c>
      <c r="S185" s="259" t="s">
        <v>5004</v>
      </c>
      <c r="T185" s="213" t="s">
        <v>4997</v>
      </c>
      <c r="U185" s="213">
        <v>4</v>
      </c>
      <c r="V185" s="213" t="s">
        <v>3439</v>
      </c>
      <c r="W185" s="213" t="s">
        <v>3361</v>
      </c>
      <c r="X185" s="213" t="s">
        <v>3441</v>
      </c>
      <c r="Y185" s="213" t="s">
        <v>4996</v>
      </c>
      <c r="Z185" s="213" t="s">
        <v>3650</v>
      </c>
      <c r="AA185" s="213">
        <v>10</v>
      </c>
      <c r="AB185" s="213">
        <v>130</v>
      </c>
      <c r="AC185" s="207" t="s">
        <v>3651</v>
      </c>
      <c r="AD185"/>
      <c r="AE185" s="206"/>
      <c r="AF185" s="94"/>
      <c r="AG185" s="94"/>
      <c r="AH185" s="94"/>
      <c r="AI185" s="94"/>
      <c r="AJ185" s="94"/>
      <c r="AK185" s="94"/>
      <c r="AL185" s="94"/>
      <c r="AM185" s="254"/>
      <c r="AN185" s="254"/>
      <c r="AO185" s="94"/>
      <c r="AP185" s="94"/>
      <c r="AQ185" s="94"/>
      <c r="AR185" s="94"/>
      <c r="AS185" s="207"/>
      <c r="BE185" s="2" t="s">
        <v>3070</v>
      </c>
      <c r="BF185" s="2" t="s">
        <v>3930</v>
      </c>
      <c r="BG185" s="2" t="s">
        <v>4542</v>
      </c>
      <c r="BH185" s="124">
        <v>127893</v>
      </c>
      <c r="BI185" s="19"/>
      <c r="BK185" s="19" t="s">
        <v>3921</v>
      </c>
    </row>
    <row r="186" spans="13:63" ht="12.75">
      <c r="M186" s="104"/>
      <c r="O186" s="206" t="s">
        <v>3059</v>
      </c>
      <c r="P186" s="94" t="s">
        <v>1630</v>
      </c>
      <c r="Q186" s="180">
        <v>230548</v>
      </c>
      <c r="R186" s="258">
        <v>1600</v>
      </c>
      <c r="S186" s="259" t="s">
        <v>5004</v>
      </c>
      <c r="T186" s="213" t="s">
        <v>4997</v>
      </c>
      <c r="U186" s="213">
        <v>4</v>
      </c>
      <c r="V186" s="213" t="s">
        <v>3439</v>
      </c>
      <c r="W186" s="213" t="s">
        <v>3361</v>
      </c>
      <c r="X186" s="213" t="s">
        <v>3445</v>
      </c>
      <c r="Y186" s="213" t="s">
        <v>4999</v>
      </c>
      <c r="Z186" s="213" t="s">
        <v>3650</v>
      </c>
      <c r="AA186" s="213">
        <v>10</v>
      </c>
      <c r="AB186" s="213">
        <v>130</v>
      </c>
      <c r="AC186" s="207" t="s">
        <v>3651</v>
      </c>
      <c r="AD186"/>
      <c r="AE186" s="206"/>
      <c r="AF186" s="94"/>
      <c r="AG186" s="94"/>
      <c r="AH186" s="94"/>
      <c r="AI186" s="94"/>
      <c r="AJ186" s="94"/>
      <c r="AK186" s="94"/>
      <c r="AL186" s="94"/>
      <c r="AM186" s="254"/>
      <c r="AN186" s="254"/>
      <c r="AO186" s="94"/>
      <c r="AP186" s="94"/>
      <c r="AQ186" s="94"/>
      <c r="AR186" s="94"/>
      <c r="AS186" s="207"/>
      <c r="BE186" s="2" t="s">
        <v>3070</v>
      </c>
      <c r="BF186" s="2" t="s">
        <v>3931</v>
      </c>
      <c r="BG186" s="2" t="s">
        <v>3909</v>
      </c>
      <c r="BH186" s="124">
        <v>57657</v>
      </c>
      <c r="BI186" s="19"/>
      <c r="BK186" s="19" t="s">
        <v>3920</v>
      </c>
    </row>
    <row r="187" spans="13:63" ht="12.75">
      <c r="M187" s="104"/>
      <c r="O187" s="206" t="s">
        <v>693</v>
      </c>
      <c r="P187" s="94" t="s">
        <v>1633</v>
      </c>
      <c r="Q187" s="180">
        <v>223329</v>
      </c>
      <c r="R187" s="258">
        <v>1600</v>
      </c>
      <c r="S187" s="259" t="s">
        <v>5004</v>
      </c>
      <c r="T187" s="213" t="s">
        <v>4997</v>
      </c>
      <c r="U187" s="213">
        <v>4</v>
      </c>
      <c r="V187" s="213" t="s">
        <v>3439</v>
      </c>
      <c r="W187" s="213" t="s">
        <v>3361</v>
      </c>
      <c r="X187" s="213" t="s">
        <v>3445</v>
      </c>
      <c r="Y187" s="213" t="s">
        <v>4996</v>
      </c>
      <c r="Z187" s="213" t="s">
        <v>3650</v>
      </c>
      <c r="AA187" s="213">
        <v>10</v>
      </c>
      <c r="AB187" s="213">
        <v>130</v>
      </c>
      <c r="AC187" s="207" t="s">
        <v>3651</v>
      </c>
      <c r="AD187"/>
      <c r="AE187" s="206"/>
      <c r="AF187" s="94"/>
      <c r="AG187" s="94"/>
      <c r="AH187" s="94"/>
      <c r="AI187" s="94"/>
      <c r="AJ187" s="94"/>
      <c r="AK187" s="94"/>
      <c r="AL187" s="94"/>
      <c r="AM187" s="254"/>
      <c r="AN187" s="254"/>
      <c r="AO187" s="94"/>
      <c r="AP187" s="94"/>
      <c r="AQ187" s="94"/>
      <c r="AR187" s="94"/>
      <c r="AS187" s="207"/>
      <c r="BE187" s="2" t="s">
        <v>3070</v>
      </c>
      <c r="BF187" s="2" t="s">
        <v>4580</v>
      </c>
      <c r="BG187" s="2" t="s">
        <v>4581</v>
      </c>
      <c r="BH187" s="2">
        <v>14439</v>
      </c>
      <c r="BK187" s="19" t="s">
        <v>4579</v>
      </c>
    </row>
    <row r="188" spans="13:63" ht="12.75">
      <c r="M188" s="104"/>
      <c r="O188" s="206" t="s">
        <v>696</v>
      </c>
      <c r="P188" s="94" t="s">
        <v>1636</v>
      </c>
      <c r="Q188" s="180">
        <v>141884</v>
      </c>
      <c r="R188" s="258">
        <v>2000</v>
      </c>
      <c r="S188" s="259">
        <v>42</v>
      </c>
      <c r="T188" s="213" t="s">
        <v>4997</v>
      </c>
      <c r="U188" s="213">
        <v>4</v>
      </c>
      <c r="V188" s="213" t="s">
        <v>3439</v>
      </c>
      <c r="W188" s="213" t="s">
        <v>3361</v>
      </c>
      <c r="X188" s="213" t="s">
        <v>3441</v>
      </c>
      <c r="Y188" s="213" t="s">
        <v>4995</v>
      </c>
      <c r="Z188" s="213" t="s">
        <v>3670</v>
      </c>
      <c r="AA188" s="213">
        <v>42</v>
      </c>
      <c r="AB188" s="213">
        <v>42</v>
      </c>
      <c r="AC188" s="207" t="s">
        <v>4530</v>
      </c>
      <c r="AD188"/>
      <c r="AE188" s="206"/>
      <c r="AF188" s="94"/>
      <c r="AG188" s="94"/>
      <c r="AH188" s="94"/>
      <c r="AI188" s="94"/>
      <c r="AJ188" s="94"/>
      <c r="AK188" s="94"/>
      <c r="AL188" s="94"/>
      <c r="AM188" s="254"/>
      <c r="AN188" s="254"/>
      <c r="AO188" s="94"/>
      <c r="AP188" s="94"/>
      <c r="AQ188" s="94"/>
      <c r="AR188" s="94"/>
      <c r="AS188" s="207"/>
      <c r="BE188" s="2" t="s">
        <v>3070</v>
      </c>
      <c r="BF188" s="2" t="s">
        <v>834</v>
      </c>
      <c r="BG188" s="2" t="s">
        <v>4582</v>
      </c>
      <c r="BH188" s="2">
        <v>17436</v>
      </c>
      <c r="BK188" s="19" t="s">
        <v>4579</v>
      </c>
    </row>
    <row r="189" spans="13:63" ht="12.75">
      <c r="M189" s="104"/>
      <c r="O189" s="206" t="s">
        <v>699</v>
      </c>
      <c r="P189" s="94" t="s">
        <v>1639</v>
      </c>
      <c r="Q189" s="180">
        <v>154732</v>
      </c>
      <c r="R189" s="258">
        <v>2000</v>
      </c>
      <c r="S189" s="259">
        <v>42</v>
      </c>
      <c r="T189" s="213" t="s">
        <v>4997</v>
      </c>
      <c r="U189" s="213">
        <v>4</v>
      </c>
      <c r="V189" s="213" t="s">
        <v>3439</v>
      </c>
      <c r="W189" s="213" t="s">
        <v>3361</v>
      </c>
      <c r="X189" s="213" t="s">
        <v>3441</v>
      </c>
      <c r="Y189" s="213" t="s">
        <v>4999</v>
      </c>
      <c r="Z189" s="213" t="s">
        <v>3670</v>
      </c>
      <c r="AA189" s="213">
        <v>42</v>
      </c>
      <c r="AB189" s="213">
        <v>42</v>
      </c>
      <c r="AC189" s="207" t="s">
        <v>4530</v>
      </c>
      <c r="AD189"/>
      <c r="AE189" s="206"/>
      <c r="AF189" s="94"/>
      <c r="AG189" s="94"/>
      <c r="AH189" s="94"/>
      <c r="AI189" s="94"/>
      <c r="AJ189" s="94"/>
      <c r="AK189" s="94"/>
      <c r="AL189" s="94"/>
      <c r="AM189" s="254"/>
      <c r="AN189" s="254"/>
      <c r="AO189" s="94"/>
      <c r="AP189" s="94"/>
      <c r="AQ189" s="94"/>
      <c r="AR189" s="94"/>
      <c r="AS189" s="207"/>
      <c r="BE189" s="2" t="s">
        <v>3070</v>
      </c>
      <c r="BF189" s="2" t="s">
        <v>4583</v>
      </c>
      <c r="BG189" s="2" t="s">
        <v>4584</v>
      </c>
      <c r="BH189" s="2">
        <v>13761</v>
      </c>
      <c r="BK189" s="19" t="s">
        <v>4579</v>
      </c>
    </row>
    <row r="190" spans="13:63" ht="12.75">
      <c r="M190" s="104"/>
      <c r="O190" s="206" t="s">
        <v>702</v>
      </c>
      <c r="P190" s="94" t="s">
        <v>1642</v>
      </c>
      <c r="Q190" s="180">
        <v>147515</v>
      </c>
      <c r="R190" s="258">
        <v>2000</v>
      </c>
      <c r="S190" s="259">
        <v>42</v>
      </c>
      <c r="T190" s="213" t="s">
        <v>4997</v>
      </c>
      <c r="U190" s="213">
        <v>4</v>
      </c>
      <c r="V190" s="213" t="s">
        <v>3439</v>
      </c>
      <c r="W190" s="213" t="s">
        <v>3361</v>
      </c>
      <c r="X190" s="213" t="s">
        <v>3441</v>
      </c>
      <c r="Y190" s="213" t="s">
        <v>4996</v>
      </c>
      <c r="Z190" s="213" t="s">
        <v>3670</v>
      </c>
      <c r="AA190" s="213">
        <v>42</v>
      </c>
      <c r="AB190" s="213">
        <v>42</v>
      </c>
      <c r="AC190" s="207" t="s">
        <v>4530</v>
      </c>
      <c r="AD190"/>
      <c r="AE190" s="206"/>
      <c r="AF190" s="94"/>
      <c r="AG190" s="94"/>
      <c r="AH190" s="94"/>
      <c r="AI190" s="94"/>
      <c r="AJ190" s="94"/>
      <c r="AK190" s="94"/>
      <c r="AL190" s="94"/>
      <c r="AM190" s="254"/>
      <c r="AN190" s="254"/>
      <c r="AO190" s="94"/>
      <c r="AP190" s="94"/>
      <c r="AQ190" s="94"/>
      <c r="AR190" s="94"/>
      <c r="AS190" s="207"/>
      <c r="BE190" s="2" t="s">
        <v>3070</v>
      </c>
      <c r="BF190" s="2" t="s">
        <v>4585</v>
      </c>
      <c r="BG190" s="2" t="s">
        <v>4586</v>
      </c>
      <c r="BH190" s="2">
        <v>16704</v>
      </c>
      <c r="BK190" s="19" t="s">
        <v>4579</v>
      </c>
    </row>
    <row r="191" spans="13:63" ht="12.75">
      <c r="M191" s="104"/>
      <c r="O191" s="206" t="s">
        <v>705</v>
      </c>
      <c r="P191" s="94" t="s">
        <v>1645</v>
      </c>
      <c r="Q191" s="180">
        <v>178942</v>
      </c>
      <c r="R191" s="258">
        <v>2000</v>
      </c>
      <c r="S191" s="259">
        <v>42</v>
      </c>
      <c r="T191" s="213" t="s">
        <v>4997</v>
      </c>
      <c r="U191" s="213">
        <v>4</v>
      </c>
      <c r="V191" s="213" t="s">
        <v>3439</v>
      </c>
      <c r="W191" s="213" t="s">
        <v>3361</v>
      </c>
      <c r="X191" s="213" t="s">
        <v>3445</v>
      </c>
      <c r="Y191" s="213" t="s">
        <v>4999</v>
      </c>
      <c r="Z191" s="213" t="s">
        <v>3670</v>
      </c>
      <c r="AA191" s="213">
        <v>42</v>
      </c>
      <c r="AB191" s="213">
        <v>42</v>
      </c>
      <c r="AC191" s="207" t="s">
        <v>4530</v>
      </c>
      <c r="AD191"/>
      <c r="AE191" s="206"/>
      <c r="AF191" s="94"/>
      <c r="AG191" s="94"/>
      <c r="AH191" s="94"/>
      <c r="AI191" s="94"/>
      <c r="AJ191" s="94"/>
      <c r="AK191" s="94"/>
      <c r="AL191" s="94"/>
      <c r="AM191" s="254"/>
      <c r="AN191" s="254"/>
      <c r="AO191" s="94"/>
      <c r="AP191" s="94"/>
      <c r="AQ191" s="94"/>
      <c r="AR191" s="94"/>
      <c r="AS191" s="207"/>
      <c r="BE191" s="2" t="s">
        <v>3070</v>
      </c>
      <c r="BF191" s="2" t="s">
        <v>835</v>
      </c>
      <c r="BG191" s="2" t="s">
        <v>4587</v>
      </c>
      <c r="BH191" s="2">
        <v>17330</v>
      </c>
      <c r="BK191" s="19" t="s">
        <v>4579</v>
      </c>
    </row>
    <row r="192" spans="13:63" ht="12.75">
      <c r="M192" s="104"/>
      <c r="O192" s="206" t="s">
        <v>708</v>
      </c>
      <c r="P192" s="94" t="s">
        <v>1648</v>
      </c>
      <c r="Q192" s="180">
        <v>171724</v>
      </c>
      <c r="R192" s="258">
        <v>2000</v>
      </c>
      <c r="S192" s="259">
        <v>42</v>
      </c>
      <c r="T192" s="213" t="s">
        <v>4997</v>
      </c>
      <c r="U192" s="213">
        <v>4</v>
      </c>
      <c r="V192" s="213" t="s">
        <v>3439</v>
      </c>
      <c r="W192" s="213" t="s">
        <v>3361</v>
      </c>
      <c r="X192" s="213" t="s">
        <v>3445</v>
      </c>
      <c r="Y192" s="213" t="s">
        <v>4996</v>
      </c>
      <c r="Z192" s="213" t="s">
        <v>3670</v>
      </c>
      <c r="AA192" s="213">
        <v>42</v>
      </c>
      <c r="AB192" s="213">
        <v>42</v>
      </c>
      <c r="AC192" s="207" t="s">
        <v>4530</v>
      </c>
      <c r="AD192"/>
      <c r="AE192" s="206"/>
      <c r="AF192" s="94"/>
      <c r="AG192" s="94"/>
      <c r="AH192" s="94"/>
      <c r="AI192" s="94"/>
      <c r="AJ192" s="94"/>
      <c r="AK192" s="94"/>
      <c r="AL192" s="94"/>
      <c r="AM192" s="254"/>
      <c r="AN192" s="254"/>
      <c r="AO192" s="94"/>
      <c r="AP192" s="94"/>
      <c r="AQ192" s="94"/>
      <c r="AR192" s="94"/>
      <c r="AS192" s="207"/>
      <c r="BE192" s="2" t="s">
        <v>3070</v>
      </c>
      <c r="BF192" s="2" t="s">
        <v>4588</v>
      </c>
      <c r="BG192" s="2" t="s">
        <v>4589</v>
      </c>
      <c r="BH192" s="2">
        <v>15438</v>
      </c>
      <c r="BK192" s="19" t="s">
        <v>4579</v>
      </c>
    </row>
    <row r="193" spans="13:63" ht="12.75">
      <c r="M193" s="104"/>
      <c r="O193" s="206" t="s">
        <v>711</v>
      </c>
      <c r="P193" s="94" t="s">
        <v>1651</v>
      </c>
      <c r="Q193" s="180">
        <v>151667</v>
      </c>
      <c r="R193" s="258">
        <v>2000</v>
      </c>
      <c r="S193" s="259">
        <v>65</v>
      </c>
      <c r="T193" s="213" t="s">
        <v>4997</v>
      </c>
      <c r="U193" s="213">
        <v>4</v>
      </c>
      <c r="V193" s="213" t="s">
        <v>3439</v>
      </c>
      <c r="W193" s="213" t="s">
        <v>3361</v>
      </c>
      <c r="X193" s="213" t="s">
        <v>3441</v>
      </c>
      <c r="Y193" s="213" t="s">
        <v>4995</v>
      </c>
      <c r="Z193" s="213" t="s">
        <v>3634</v>
      </c>
      <c r="AA193" s="213">
        <v>55</v>
      </c>
      <c r="AB193" s="213">
        <v>65</v>
      </c>
      <c r="AC193" s="207" t="s">
        <v>4530</v>
      </c>
      <c r="AD193"/>
      <c r="AE193" s="206"/>
      <c r="AF193" s="94"/>
      <c r="AG193" s="94"/>
      <c r="AH193" s="94"/>
      <c r="AI193" s="94"/>
      <c r="AJ193" s="94"/>
      <c r="AK193" s="94"/>
      <c r="AL193" s="94"/>
      <c r="AM193" s="254"/>
      <c r="AN193" s="254"/>
      <c r="AO193" s="94"/>
      <c r="AP193" s="94"/>
      <c r="AQ193" s="94"/>
      <c r="AR193" s="94"/>
      <c r="AS193" s="207"/>
      <c r="BE193" s="2" t="s">
        <v>3070</v>
      </c>
      <c r="BF193" s="2" t="s">
        <v>4590</v>
      </c>
      <c r="BG193" s="2" t="s">
        <v>4591</v>
      </c>
      <c r="BH193" s="2">
        <v>19360</v>
      </c>
      <c r="BK193" s="19" t="s">
        <v>4579</v>
      </c>
    </row>
    <row r="194" spans="13:63" ht="12.75">
      <c r="M194" s="104"/>
      <c r="O194" s="206" t="s">
        <v>714</v>
      </c>
      <c r="P194" s="94" t="s">
        <v>748</v>
      </c>
      <c r="Q194" s="180">
        <v>164515</v>
      </c>
      <c r="R194" s="258">
        <v>2000</v>
      </c>
      <c r="S194" s="259">
        <v>65</v>
      </c>
      <c r="T194" s="213" t="s">
        <v>4997</v>
      </c>
      <c r="U194" s="213">
        <v>4</v>
      </c>
      <c r="V194" s="213" t="s">
        <v>3439</v>
      </c>
      <c r="W194" s="213" t="s">
        <v>3361</v>
      </c>
      <c r="X194" s="213" t="s">
        <v>3441</v>
      </c>
      <c r="Y194" s="213" t="s">
        <v>4999</v>
      </c>
      <c r="Z194" s="213" t="s">
        <v>3634</v>
      </c>
      <c r="AA194" s="213">
        <v>55</v>
      </c>
      <c r="AB194" s="213">
        <v>65</v>
      </c>
      <c r="AC194" s="207" t="s">
        <v>4530</v>
      </c>
      <c r="AD194"/>
      <c r="AE194" s="206"/>
      <c r="AF194" s="94"/>
      <c r="AG194" s="94"/>
      <c r="AH194" s="94"/>
      <c r="AI194" s="94"/>
      <c r="AJ194" s="94"/>
      <c r="AK194" s="94"/>
      <c r="AL194" s="94"/>
      <c r="AM194" s="254"/>
      <c r="AN194" s="254"/>
      <c r="AO194" s="94"/>
      <c r="AP194" s="94"/>
      <c r="AQ194" s="94"/>
      <c r="AR194" s="94"/>
      <c r="AS194" s="207"/>
      <c r="BE194" s="2" t="s">
        <v>3070</v>
      </c>
      <c r="BF194" s="2" t="s">
        <v>4592</v>
      </c>
      <c r="BG194" s="2" t="s">
        <v>4593</v>
      </c>
      <c r="BH194" s="2">
        <v>23842</v>
      </c>
      <c r="BK194" s="19" t="s">
        <v>4579</v>
      </c>
    </row>
    <row r="195" spans="13:63" ht="12.75">
      <c r="M195" s="104"/>
      <c r="O195" s="206" t="s">
        <v>717</v>
      </c>
      <c r="P195" s="94" t="s">
        <v>1665</v>
      </c>
      <c r="Q195" s="180">
        <v>157298</v>
      </c>
      <c r="R195" s="258">
        <v>2000</v>
      </c>
      <c r="S195" s="259">
        <v>65</v>
      </c>
      <c r="T195" s="213" t="s">
        <v>4997</v>
      </c>
      <c r="U195" s="213">
        <v>4</v>
      </c>
      <c r="V195" s="213" t="s">
        <v>3439</v>
      </c>
      <c r="W195" s="213" t="s">
        <v>3361</v>
      </c>
      <c r="X195" s="213" t="s">
        <v>3441</v>
      </c>
      <c r="Y195" s="213" t="s">
        <v>4996</v>
      </c>
      <c r="Z195" s="213" t="s">
        <v>3634</v>
      </c>
      <c r="AA195" s="213">
        <v>55</v>
      </c>
      <c r="AB195" s="213">
        <v>65</v>
      </c>
      <c r="AC195" s="207" t="s">
        <v>4530</v>
      </c>
      <c r="AD195"/>
      <c r="AE195" s="206"/>
      <c r="AF195" s="94"/>
      <c r="AG195" s="94"/>
      <c r="AH195" s="94"/>
      <c r="AI195" s="94"/>
      <c r="AJ195" s="94"/>
      <c r="AK195" s="94"/>
      <c r="AL195" s="94"/>
      <c r="AM195" s="254"/>
      <c r="AN195" s="254"/>
      <c r="AO195" s="94"/>
      <c r="AP195" s="94"/>
      <c r="AQ195" s="94"/>
      <c r="AR195" s="94"/>
      <c r="AS195" s="207"/>
      <c r="BE195" s="2" t="s">
        <v>3070</v>
      </c>
      <c r="BF195" s="2" t="s">
        <v>4594</v>
      </c>
      <c r="BG195" s="2" t="s">
        <v>3062</v>
      </c>
      <c r="BH195" s="2">
        <v>30025</v>
      </c>
      <c r="BK195" s="19" t="s">
        <v>4579</v>
      </c>
    </row>
    <row r="196" spans="13:63" ht="12.75">
      <c r="M196" s="104"/>
      <c r="O196" s="206" t="s">
        <v>720</v>
      </c>
      <c r="P196" s="94" t="s">
        <v>1668</v>
      </c>
      <c r="Q196" s="180">
        <v>188725</v>
      </c>
      <c r="R196" s="258">
        <v>2000</v>
      </c>
      <c r="S196" s="259">
        <v>65</v>
      </c>
      <c r="T196" s="213" t="s">
        <v>4997</v>
      </c>
      <c r="U196" s="213">
        <v>4</v>
      </c>
      <c r="V196" s="213" t="s">
        <v>3439</v>
      </c>
      <c r="W196" s="213" t="s">
        <v>3361</v>
      </c>
      <c r="X196" s="213" t="s">
        <v>3445</v>
      </c>
      <c r="Y196" s="213" t="s">
        <v>4999</v>
      </c>
      <c r="Z196" s="213" t="s">
        <v>3634</v>
      </c>
      <c r="AA196" s="213">
        <v>55</v>
      </c>
      <c r="AB196" s="213">
        <v>65</v>
      </c>
      <c r="AC196" s="207" t="s">
        <v>4530</v>
      </c>
      <c r="AD196"/>
      <c r="AE196" s="206"/>
      <c r="AF196" s="94"/>
      <c r="AG196" s="94"/>
      <c r="AH196" s="94"/>
      <c r="AI196" s="94"/>
      <c r="AJ196" s="94"/>
      <c r="AK196" s="94"/>
      <c r="AL196" s="94"/>
      <c r="AM196" s="254"/>
      <c r="AN196" s="254"/>
      <c r="AO196" s="94"/>
      <c r="AP196" s="94"/>
      <c r="AQ196" s="94"/>
      <c r="AR196" s="94"/>
      <c r="AS196" s="207"/>
      <c r="BE196" s="2" t="s">
        <v>3070</v>
      </c>
      <c r="BF196" s="2" t="s">
        <v>3063</v>
      </c>
      <c r="BG196" s="2" t="s">
        <v>3064</v>
      </c>
      <c r="BH196" s="2">
        <v>34581</v>
      </c>
      <c r="BK196" s="19" t="s">
        <v>4579</v>
      </c>
    </row>
    <row r="197" spans="13:63" ht="12.75">
      <c r="M197" s="104"/>
      <c r="O197" s="206" t="s">
        <v>723</v>
      </c>
      <c r="P197" s="94" t="s">
        <v>1671</v>
      </c>
      <c r="Q197" s="180">
        <v>181506</v>
      </c>
      <c r="R197" s="258">
        <v>2000</v>
      </c>
      <c r="S197" s="259">
        <v>65</v>
      </c>
      <c r="T197" s="213" t="s">
        <v>4997</v>
      </c>
      <c r="U197" s="213">
        <v>4</v>
      </c>
      <c r="V197" s="213" t="s">
        <v>3439</v>
      </c>
      <c r="W197" s="213" t="s">
        <v>3361</v>
      </c>
      <c r="X197" s="213" t="s">
        <v>3445</v>
      </c>
      <c r="Y197" s="213" t="s">
        <v>4996</v>
      </c>
      <c r="Z197" s="213" t="s">
        <v>3634</v>
      </c>
      <c r="AA197" s="213">
        <v>55</v>
      </c>
      <c r="AB197" s="213">
        <v>65</v>
      </c>
      <c r="AC197" s="207" t="s">
        <v>4530</v>
      </c>
      <c r="AD197"/>
      <c r="AE197" s="206"/>
      <c r="AF197" s="94"/>
      <c r="AG197" s="94"/>
      <c r="AH197" s="94"/>
      <c r="AI197" s="94"/>
      <c r="AJ197" s="94"/>
      <c r="AK197" s="94"/>
      <c r="AL197" s="94"/>
      <c r="AM197" s="254"/>
      <c r="AN197" s="254"/>
      <c r="AO197" s="94"/>
      <c r="AP197" s="94"/>
      <c r="AQ197" s="94"/>
      <c r="AR197" s="94"/>
      <c r="AS197" s="207"/>
      <c r="BE197" s="2" t="s">
        <v>3070</v>
      </c>
      <c r="BF197" s="2" t="s">
        <v>3065</v>
      </c>
      <c r="BG197" s="2" t="s">
        <v>3066</v>
      </c>
      <c r="BH197" s="2">
        <v>37910</v>
      </c>
      <c r="BK197" s="19" t="s">
        <v>4579</v>
      </c>
    </row>
    <row r="198" spans="13:63" ht="12.75">
      <c r="M198" s="104"/>
      <c r="O198" s="206" t="s">
        <v>3086</v>
      </c>
      <c r="P198" s="94" t="s">
        <v>1673</v>
      </c>
      <c r="Q198" s="180">
        <v>121785</v>
      </c>
      <c r="R198" s="258">
        <v>1250</v>
      </c>
      <c r="S198" s="259">
        <v>65</v>
      </c>
      <c r="T198" s="213" t="s">
        <v>4997</v>
      </c>
      <c r="U198" s="213">
        <v>4</v>
      </c>
      <c r="V198" s="213" t="s">
        <v>3443</v>
      </c>
      <c r="W198" s="213" t="s">
        <v>3572</v>
      </c>
      <c r="X198" s="213" t="s">
        <v>3441</v>
      </c>
      <c r="Y198" s="213" t="s">
        <v>4995</v>
      </c>
      <c r="Z198" s="213" t="s">
        <v>3634</v>
      </c>
      <c r="AA198" s="213">
        <v>55</v>
      </c>
      <c r="AB198" s="213">
        <v>65</v>
      </c>
      <c r="AC198" s="207" t="s">
        <v>4530</v>
      </c>
      <c r="AD198"/>
      <c r="AE198" s="206"/>
      <c r="AF198" s="94"/>
      <c r="AG198" s="94"/>
      <c r="AH198" s="94"/>
      <c r="AI198" s="94"/>
      <c r="AJ198" s="94"/>
      <c r="AK198" s="94"/>
      <c r="AL198" s="94"/>
      <c r="AM198" s="254"/>
      <c r="AN198" s="254"/>
      <c r="AO198" s="94"/>
      <c r="AP198" s="94"/>
      <c r="AQ198" s="94"/>
      <c r="AR198" s="94"/>
      <c r="AS198" s="207"/>
      <c r="BE198" s="2" t="s">
        <v>3070</v>
      </c>
      <c r="BF198" s="2" t="s">
        <v>3067</v>
      </c>
      <c r="BG198" s="2" t="s">
        <v>3068</v>
      </c>
      <c r="BH198" s="2">
        <v>44637</v>
      </c>
      <c r="BK198" s="19" t="s">
        <v>4579</v>
      </c>
    </row>
    <row r="199" spans="13:60" ht="12.75">
      <c r="M199" s="104"/>
      <c r="O199" s="206" t="s">
        <v>3087</v>
      </c>
      <c r="P199" s="94" t="s">
        <v>1674</v>
      </c>
      <c r="Q199" s="180">
        <v>134633</v>
      </c>
      <c r="R199" s="258">
        <v>1250</v>
      </c>
      <c r="S199" s="259">
        <v>65</v>
      </c>
      <c r="T199" s="213" t="s">
        <v>4997</v>
      </c>
      <c r="U199" s="213">
        <v>4</v>
      </c>
      <c r="V199" s="213" t="s">
        <v>3443</v>
      </c>
      <c r="W199" s="213" t="s">
        <v>3572</v>
      </c>
      <c r="X199" s="213" t="s">
        <v>3441</v>
      </c>
      <c r="Y199" s="213" t="s">
        <v>4999</v>
      </c>
      <c r="Z199" s="213" t="s">
        <v>3634</v>
      </c>
      <c r="AA199" s="213">
        <v>55</v>
      </c>
      <c r="AB199" s="213">
        <v>65</v>
      </c>
      <c r="AC199" s="207" t="s">
        <v>4530</v>
      </c>
      <c r="AD199"/>
      <c r="AE199" s="206"/>
      <c r="AF199" s="94"/>
      <c r="AG199" s="94"/>
      <c r="AH199" s="94"/>
      <c r="AI199" s="94"/>
      <c r="AJ199" s="94"/>
      <c r="AK199" s="94"/>
      <c r="AL199" s="94"/>
      <c r="AM199" s="254"/>
      <c r="AN199" s="254"/>
      <c r="AO199" s="94"/>
      <c r="AP199" s="94"/>
      <c r="AQ199" s="94"/>
      <c r="AR199" s="94"/>
      <c r="AS199" s="207"/>
      <c r="BE199" s="2" t="s">
        <v>3070</v>
      </c>
      <c r="BF199" s="2" t="s">
        <v>240</v>
      </c>
      <c r="BG199" s="2" t="s">
        <v>241</v>
      </c>
      <c r="BH199" s="2">
        <v>19195</v>
      </c>
    </row>
    <row r="200" spans="13:63" ht="12.75">
      <c r="M200" s="104"/>
      <c r="O200" s="206" t="s">
        <v>3088</v>
      </c>
      <c r="P200" s="94" t="s">
        <v>1675</v>
      </c>
      <c r="Q200" s="180">
        <v>127415</v>
      </c>
      <c r="R200" s="258">
        <v>1250</v>
      </c>
      <c r="S200" s="259">
        <v>65</v>
      </c>
      <c r="T200" s="213" t="s">
        <v>4997</v>
      </c>
      <c r="U200" s="213">
        <v>4</v>
      </c>
      <c r="V200" s="213" t="s">
        <v>3443</v>
      </c>
      <c r="W200" s="213" t="s">
        <v>3572</v>
      </c>
      <c r="X200" s="213" t="s">
        <v>3441</v>
      </c>
      <c r="Y200" s="213" t="s">
        <v>4996</v>
      </c>
      <c r="Z200" s="213" t="s">
        <v>3634</v>
      </c>
      <c r="AA200" s="213">
        <v>55</v>
      </c>
      <c r="AB200" s="213">
        <v>65</v>
      </c>
      <c r="AC200" s="207" t="s">
        <v>4530</v>
      </c>
      <c r="AD200"/>
      <c r="AE200" s="206"/>
      <c r="AF200" s="94"/>
      <c r="AG200" s="94"/>
      <c r="AH200" s="94"/>
      <c r="AI200" s="94"/>
      <c r="AJ200" s="94"/>
      <c r="AK200" s="94"/>
      <c r="AL200" s="94"/>
      <c r="AM200" s="254"/>
      <c r="AN200" s="254"/>
      <c r="AO200" s="94"/>
      <c r="AP200" s="94"/>
      <c r="AQ200" s="94"/>
      <c r="AR200" s="94"/>
      <c r="AS200" s="207"/>
      <c r="BE200" s="2" t="s">
        <v>3070</v>
      </c>
      <c r="BF200" s="2" t="s">
        <v>3507</v>
      </c>
      <c r="BG200" s="2" t="s">
        <v>3508</v>
      </c>
      <c r="BH200" s="2">
        <v>316</v>
      </c>
      <c r="BK200" s="2" t="s">
        <v>324</v>
      </c>
    </row>
    <row r="201" spans="13:45" ht="12.75">
      <c r="M201" s="104"/>
      <c r="O201" s="206" t="s">
        <v>3089</v>
      </c>
      <c r="P201" s="94" t="s">
        <v>1676</v>
      </c>
      <c r="Q201" s="180">
        <v>158842</v>
      </c>
      <c r="R201" s="258">
        <v>1250</v>
      </c>
      <c r="S201" s="259">
        <v>65</v>
      </c>
      <c r="T201" s="213" t="s">
        <v>4997</v>
      </c>
      <c r="U201" s="213">
        <v>4</v>
      </c>
      <c r="V201" s="213" t="s">
        <v>3443</v>
      </c>
      <c r="W201" s="213" t="s">
        <v>3572</v>
      </c>
      <c r="X201" s="213" t="s">
        <v>3445</v>
      </c>
      <c r="Y201" s="213" t="s">
        <v>4999</v>
      </c>
      <c r="Z201" s="213" t="s">
        <v>3634</v>
      </c>
      <c r="AA201" s="213">
        <v>55</v>
      </c>
      <c r="AB201" s="213">
        <v>65</v>
      </c>
      <c r="AC201" s="207" t="s">
        <v>4530</v>
      </c>
      <c r="AD201"/>
      <c r="AE201" s="206"/>
      <c r="AF201" s="94"/>
      <c r="AG201" s="94"/>
      <c r="AH201" s="94"/>
      <c r="AI201" s="94"/>
      <c r="AJ201" s="94"/>
      <c r="AK201" s="94"/>
      <c r="AL201" s="94"/>
      <c r="AM201" s="254"/>
      <c r="AN201" s="254"/>
      <c r="AO201" s="94"/>
      <c r="AP201" s="94"/>
      <c r="AQ201" s="94"/>
      <c r="AR201" s="94"/>
      <c r="AS201" s="207"/>
    </row>
    <row r="202" spans="13:45" ht="12.75">
      <c r="M202" s="104"/>
      <c r="O202" s="206" t="s">
        <v>3090</v>
      </c>
      <c r="P202" s="94" t="s">
        <v>1677</v>
      </c>
      <c r="Q202" s="180">
        <v>151626</v>
      </c>
      <c r="R202" s="258">
        <v>1250</v>
      </c>
      <c r="S202" s="259">
        <v>65</v>
      </c>
      <c r="T202" s="213" t="s">
        <v>4997</v>
      </c>
      <c r="U202" s="213">
        <v>4</v>
      </c>
      <c r="V202" s="213" t="s">
        <v>3443</v>
      </c>
      <c r="W202" s="213" t="s">
        <v>3572</v>
      </c>
      <c r="X202" s="213" t="s">
        <v>3445</v>
      </c>
      <c r="Y202" s="213" t="s">
        <v>4996</v>
      </c>
      <c r="Z202" s="213" t="s">
        <v>3634</v>
      </c>
      <c r="AA202" s="213">
        <v>55</v>
      </c>
      <c r="AB202" s="213">
        <v>65</v>
      </c>
      <c r="AC202" s="207" t="s">
        <v>4530</v>
      </c>
      <c r="AD202"/>
      <c r="AE202" s="206"/>
      <c r="AF202" s="94"/>
      <c r="AG202" s="94"/>
      <c r="AH202" s="94"/>
      <c r="AI202" s="94"/>
      <c r="AJ202" s="94"/>
      <c r="AK202" s="94"/>
      <c r="AL202" s="94"/>
      <c r="AM202" s="254"/>
      <c r="AN202" s="254"/>
      <c r="AO202" s="94"/>
      <c r="AP202" s="94"/>
      <c r="AQ202" s="94"/>
      <c r="AR202" s="94"/>
      <c r="AS202" s="207"/>
    </row>
    <row r="203" spans="13:45" ht="12.75">
      <c r="M203" s="104"/>
      <c r="O203" s="206" t="s">
        <v>3091</v>
      </c>
      <c r="P203" s="94" t="s">
        <v>1678</v>
      </c>
      <c r="Q203" s="180">
        <v>146126</v>
      </c>
      <c r="R203" s="258">
        <v>1250</v>
      </c>
      <c r="S203" s="259" t="s">
        <v>5004</v>
      </c>
      <c r="T203" s="213" t="s">
        <v>4997</v>
      </c>
      <c r="U203" s="213">
        <v>4</v>
      </c>
      <c r="V203" s="213" t="s">
        <v>3443</v>
      </c>
      <c r="W203" s="213" t="s">
        <v>3572</v>
      </c>
      <c r="X203" s="213" t="s">
        <v>3441</v>
      </c>
      <c r="Y203" s="213" t="s">
        <v>4995</v>
      </c>
      <c r="Z203" s="213" t="s">
        <v>3650</v>
      </c>
      <c r="AA203" s="213">
        <v>10</v>
      </c>
      <c r="AB203" s="213">
        <v>130</v>
      </c>
      <c r="AC203" s="207" t="s">
        <v>3651</v>
      </c>
      <c r="AD203"/>
      <c r="AE203" s="206"/>
      <c r="AF203" s="94"/>
      <c r="AG203" s="94"/>
      <c r="AH203" s="94"/>
      <c r="AI203" s="94"/>
      <c r="AJ203" s="94"/>
      <c r="AK203" s="94"/>
      <c r="AL203" s="94"/>
      <c r="AM203" s="254"/>
      <c r="AN203" s="254"/>
      <c r="AO203" s="94"/>
      <c r="AP203" s="94"/>
      <c r="AQ203" s="94"/>
      <c r="AR203" s="94"/>
      <c r="AS203" s="207"/>
    </row>
    <row r="204" spans="13:45" ht="12.75">
      <c r="M204" s="104"/>
      <c r="O204" s="206" t="s">
        <v>3092</v>
      </c>
      <c r="P204" s="94" t="s">
        <v>1679</v>
      </c>
      <c r="Q204" s="180">
        <v>158973</v>
      </c>
      <c r="R204" s="258">
        <v>1250</v>
      </c>
      <c r="S204" s="259" t="s">
        <v>5004</v>
      </c>
      <c r="T204" s="213" t="s">
        <v>4997</v>
      </c>
      <c r="U204" s="213">
        <v>4</v>
      </c>
      <c r="V204" s="213" t="s">
        <v>3443</v>
      </c>
      <c r="W204" s="213" t="s">
        <v>3572</v>
      </c>
      <c r="X204" s="213" t="s">
        <v>3441</v>
      </c>
      <c r="Y204" s="213" t="s">
        <v>4999</v>
      </c>
      <c r="Z204" s="213" t="s">
        <v>3650</v>
      </c>
      <c r="AA204" s="213">
        <v>10</v>
      </c>
      <c r="AB204" s="213">
        <v>130</v>
      </c>
      <c r="AC204" s="207" t="s">
        <v>3651</v>
      </c>
      <c r="AD204"/>
      <c r="AE204" s="206"/>
      <c r="AF204" s="94"/>
      <c r="AG204" s="94"/>
      <c r="AH204" s="94"/>
      <c r="AI204" s="94"/>
      <c r="AJ204" s="94"/>
      <c r="AK204" s="94"/>
      <c r="AL204" s="94"/>
      <c r="AM204" s="254"/>
      <c r="AN204" s="254"/>
      <c r="AO204" s="94"/>
      <c r="AP204" s="94"/>
      <c r="AQ204" s="94"/>
      <c r="AR204" s="94"/>
      <c r="AS204" s="207"/>
    </row>
    <row r="205" spans="13:45" ht="12.75">
      <c r="M205" s="104"/>
      <c r="O205" s="206" t="s">
        <v>3093</v>
      </c>
      <c r="P205" s="94" t="s">
        <v>1680</v>
      </c>
      <c r="Q205" s="180">
        <v>151756</v>
      </c>
      <c r="R205" s="258">
        <v>1250</v>
      </c>
      <c r="S205" s="259" t="s">
        <v>5004</v>
      </c>
      <c r="T205" s="213" t="s">
        <v>4997</v>
      </c>
      <c r="U205" s="213">
        <v>4</v>
      </c>
      <c r="V205" s="213" t="s">
        <v>3443</v>
      </c>
      <c r="W205" s="213" t="s">
        <v>3572</v>
      </c>
      <c r="X205" s="213" t="s">
        <v>3441</v>
      </c>
      <c r="Y205" s="213" t="s">
        <v>4996</v>
      </c>
      <c r="Z205" s="213" t="s">
        <v>3650</v>
      </c>
      <c r="AA205" s="213">
        <v>10</v>
      </c>
      <c r="AB205" s="213">
        <v>130</v>
      </c>
      <c r="AC205" s="207" t="s">
        <v>3651</v>
      </c>
      <c r="AD205"/>
      <c r="AE205" s="206"/>
      <c r="AF205" s="94"/>
      <c r="AG205" s="94"/>
      <c r="AH205" s="94"/>
      <c r="AI205" s="94"/>
      <c r="AJ205" s="94"/>
      <c r="AK205" s="94"/>
      <c r="AL205" s="94"/>
      <c r="AM205" s="254"/>
      <c r="AN205" s="254"/>
      <c r="AO205" s="94"/>
      <c r="AP205" s="94"/>
      <c r="AQ205" s="94"/>
      <c r="AR205" s="94"/>
      <c r="AS205" s="207"/>
    </row>
    <row r="206" spans="13:45" ht="12.75">
      <c r="M206" s="104"/>
      <c r="O206" s="206" t="s">
        <v>3094</v>
      </c>
      <c r="P206" s="94" t="s">
        <v>1681</v>
      </c>
      <c r="Q206" s="180">
        <v>183183</v>
      </c>
      <c r="R206" s="258">
        <v>1250</v>
      </c>
      <c r="S206" s="259" t="s">
        <v>5004</v>
      </c>
      <c r="T206" s="213" t="s">
        <v>4997</v>
      </c>
      <c r="U206" s="213">
        <v>4</v>
      </c>
      <c r="V206" s="213" t="s">
        <v>3443</v>
      </c>
      <c r="W206" s="213" t="s">
        <v>3572</v>
      </c>
      <c r="X206" s="213" t="s">
        <v>3445</v>
      </c>
      <c r="Y206" s="213" t="s">
        <v>4999</v>
      </c>
      <c r="Z206" s="213" t="s">
        <v>3650</v>
      </c>
      <c r="AA206" s="213">
        <v>10</v>
      </c>
      <c r="AB206" s="213">
        <v>130</v>
      </c>
      <c r="AC206" s="207" t="s">
        <v>3651</v>
      </c>
      <c r="AD206"/>
      <c r="AE206" s="206"/>
      <c r="AF206" s="94"/>
      <c r="AG206" s="94"/>
      <c r="AH206" s="94"/>
      <c r="AI206" s="94"/>
      <c r="AJ206" s="94"/>
      <c r="AK206" s="94"/>
      <c r="AL206" s="94"/>
      <c r="AM206" s="254"/>
      <c r="AN206" s="254"/>
      <c r="AO206" s="94"/>
      <c r="AP206" s="94"/>
      <c r="AQ206" s="94"/>
      <c r="AR206" s="94"/>
      <c r="AS206" s="207"/>
    </row>
    <row r="207" spans="13:45" ht="12.75">
      <c r="M207" s="104"/>
      <c r="O207" s="206" t="s">
        <v>3095</v>
      </c>
      <c r="P207" s="94" t="s">
        <v>1682</v>
      </c>
      <c r="Q207" s="180">
        <v>175966</v>
      </c>
      <c r="R207" s="258">
        <v>1250</v>
      </c>
      <c r="S207" s="259" t="s">
        <v>5004</v>
      </c>
      <c r="T207" s="213" t="s">
        <v>4997</v>
      </c>
      <c r="U207" s="213">
        <v>4</v>
      </c>
      <c r="V207" s="213" t="s">
        <v>3443</v>
      </c>
      <c r="W207" s="213" t="s">
        <v>3572</v>
      </c>
      <c r="X207" s="213" t="s">
        <v>3445</v>
      </c>
      <c r="Y207" s="213" t="s">
        <v>4996</v>
      </c>
      <c r="Z207" s="213" t="s">
        <v>3650</v>
      </c>
      <c r="AA207" s="213">
        <v>10</v>
      </c>
      <c r="AB207" s="213">
        <v>130</v>
      </c>
      <c r="AC207" s="207" t="s">
        <v>3651</v>
      </c>
      <c r="AD207"/>
      <c r="AE207" s="206"/>
      <c r="AF207" s="94"/>
      <c r="AG207" s="94"/>
      <c r="AH207" s="94"/>
      <c r="AI207" s="94"/>
      <c r="AJ207" s="94"/>
      <c r="AK207" s="94"/>
      <c r="AL207" s="94"/>
      <c r="AM207" s="254"/>
      <c r="AN207" s="254"/>
      <c r="AO207" s="94"/>
      <c r="AP207" s="94"/>
      <c r="AQ207" s="94"/>
      <c r="AR207" s="94"/>
      <c r="AS207" s="207"/>
    </row>
    <row r="208" spans="13:45" ht="12.75">
      <c r="M208" s="104"/>
      <c r="O208" s="206" t="s">
        <v>3096</v>
      </c>
      <c r="P208" s="94" t="s">
        <v>1683</v>
      </c>
      <c r="Q208" s="180">
        <v>134469</v>
      </c>
      <c r="R208" s="258">
        <v>1600</v>
      </c>
      <c r="S208" s="259">
        <v>42</v>
      </c>
      <c r="T208" s="213" t="s">
        <v>4997</v>
      </c>
      <c r="U208" s="213">
        <v>4</v>
      </c>
      <c r="V208" s="213" t="s">
        <v>3443</v>
      </c>
      <c r="W208" s="213" t="s">
        <v>3572</v>
      </c>
      <c r="X208" s="213" t="s">
        <v>3441</v>
      </c>
      <c r="Y208" s="213" t="s">
        <v>4995</v>
      </c>
      <c r="Z208" s="213" t="s">
        <v>3670</v>
      </c>
      <c r="AA208" s="213">
        <v>42</v>
      </c>
      <c r="AB208" s="213">
        <v>42</v>
      </c>
      <c r="AC208" s="207" t="s">
        <v>4530</v>
      </c>
      <c r="AD208"/>
      <c r="AE208" s="206"/>
      <c r="AF208" s="94"/>
      <c r="AG208" s="94"/>
      <c r="AH208" s="94"/>
      <c r="AI208" s="94"/>
      <c r="AJ208" s="94"/>
      <c r="AK208" s="94"/>
      <c r="AL208" s="94"/>
      <c r="AM208" s="254"/>
      <c r="AN208" s="254"/>
      <c r="AO208" s="94"/>
      <c r="AP208" s="94"/>
      <c r="AQ208" s="94"/>
      <c r="AR208" s="94"/>
      <c r="AS208" s="207"/>
    </row>
    <row r="209" spans="13:45" ht="12.75">
      <c r="M209" s="104"/>
      <c r="O209" s="206" t="s">
        <v>3097</v>
      </c>
      <c r="P209" s="94" t="s">
        <v>1684</v>
      </c>
      <c r="Q209" s="180">
        <v>147317</v>
      </c>
      <c r="R209" s="258">
        <v>1600</v>
      </c>
      <c r="S209" s="259">
        <v>42</v>
      </c>
      <c r="T209" s="213" t="s">
        <v>4997</v>
      </c>
      <c r="U209" s="213">
        <v>4</v>
      </c>
      <c r="V209" s="213" t="s">
        <v>3443</v>
      </c>
      <c r="W209" s="213" t="s">
        <v>3572</v>
      </c>
      <c r="X209" s="213" t="s">
        <v>3441</v>
      </c>
      <c r="Y209" s="213" t="s">
        <v>4999</v>
      </c>
      <c r="Z209" s="213" t="s">
        <v>3670</v>
      </c>
      <c r="AA209" s="213">
        <v>42</v>
      </c>
      <c r="AB209" s="213">
        <v>42</v>
      </c>
      <c r="AC209" s="207" t="s">
        <v>4530</v>
      </c>
      <c r="AD209"/>
      <c r="AE209" s="206"/>
      <c r="AF209" s="94"/>
      <c r="AG209" s="94"/>
      <c r="AH209" s="94"/>
      <c r="AI209" s="94"/>
      <c r="AJ209" s="94"/>
      <c r="AK209" s="94"/>
      <c r="AL209" s="94"/>
      <c r="AM209" s="254"/>
      <c r="AN209" s="254"/>
      <c r="AO209" s="94"/>
      <c r="AP209" s="94"/>
      <c r="AQ209" s="94"/>
      <c r="AR209" s="94"/>
      <c r="AS209" s="207"/>
    </row>
    <row r="210" spans="13:45" ht="12.75">
      <c r="M210" s="104"/>
      <c r="O210" s="206" t="s">
        <v>3098</v>
      </c>
      <c r="P210" s="94" t="s">
        <v>1685</v>
      </c>
      <c r="Q210" s="180">
        <v>140101</v>
      </c>
      <c r="R210" s="258">
        <v>1600</v>
      </c>
      <c r="S210" s="259">
        <v>42</v>
      </c>
      <c r="T210" s="213" t="s">
        <v>4997</v>
      </c>
      <c r="U210" s="213">
        <v>4</v>
      </c>
      <c r="V210" s="213" t="s">
        <v>3443</v>
      </c>
      <c r="W210" s="213" t="s">
        <v>3572</v>
      </c>
      <c r="X210" s="213" t="s">
        <v>3441</v>
      </c>
      <c r="Y210" s="213" t="s">
        <v>4996</v>
      </c>
      <c r="Z210" s="213" t="s">
        <v>3670</v>
      </c>
      <c r="AA210" s="213">
        <v>42</v>
      </c>
      <c r="AB210" s="213">
        <v>42</v>
      </c>
      <c r="AC210" s="207" t="s">
        <v>4530</v>
      </c>
      <c r="AD210"/>
      <c r="AE210" s="206"/>
      <c r="AF210" s="94"/>
      <c r="AG210" s="94"/>
      <c r="AH210" s="94"/>
      <c r="AI210" s="94"/>
      <c r="AJ210" s="94"/>
      <c r="AK210" s="94"/>
      <c r="AL210" s="94"/>
      <c r="AM210" s="254"/>
      <c r="AN210" s="254"/>
      <c r="AO210" s="94"/>
      <c r="AP210" s="94"/>
      <c r="AQ210" s="94"/>
      <c r="AR210" s="94"/>
      <c r="AS210" s="207"/>
    </row>
    <row r="211" spans="13:45" ht="12.75">
      <c r="M211" s="104"/>
      <c r="O211" s="206" t="s">
        <v>3099</v>
      </c>
      <c r="P211" s="94" t="s">
        <v>1686</v>
      </c>
      <c r="Q211" s="180">
        <v>171526</v>
      </c>
      <c r="R211" s="258">
        <v>1600</v>
      </c>
      <c r="S211" s="259">
        <v>42</v>
      </c>
      <c r="T211" s="213" t="s">
        <v>4997</v>
      </c>
      <c r="U211" s="213">
        <v>4</v>
      </c>
      <c r="V211" s="213" t="s">
        <v>3443</v>
      </c>
      <c r="W211" s="213" t="s">
        <v>3572</v>
      </c>
      <c r="X211" s="213" t="s">
        <v>3445</v>
      </c>
      <c r="Y211" s="213" t="s">
        <v>4999</v>
      </c>
      <c r="Z211" s="213" t="s">
        <v>3670</v>
      </c>
      <c r="AA211" s="213">
        <v>42</v>
      </c>
      <c r="AB211" s="213">
        <v>42</v>
      </c>
      <c r="AC211" s="207" t="s">
        <v>4530</v>
      </c>
      <c r="AD211"/>
      <c r="AE211" s="206"/>
      <c r="AF211" s="94"/>
      <c r="AG211" s="94"/>
      <c r="AH211" s="94"/>
      <c r="AI211" s="94"/>
      <c r="AJ211" s="94"/>
      <c r="AK211" s="94"/>
      <c r="AL211" s="94"/>
      <c r="AM211" s="254"/>
      <c r="AN211" s="254"/>
      <c r="AO211" s="94"/>
      <c r="AP211" s="94"/>
      <c r="AQ211" s="94"/>
      <c r="AR211" s="94"/>
      <c r="AS211" s="207"/>
    </row>
    <row r="212" spans="13:45" ht="12.75">
      <c r="M212" s="104"/>
      <c r="O212" s="206" t="s">
        <v>3100</v>
      </c>
      <c r="P212" s="94" t="s">
        <v>1687</v>
      </c>
      <c r="Q212" s="180">
        <v>164309</v>
      </c>
      <c r="R212" s="258">
        <v>1600</v>
      </c>
      <c r="S212" s="259">
        <v>42</v>
      </c>
      <c r="T212" s="213" t="s">
        <v>4997</v>
      </c>
      <c r="U212" s="213">
        <v>4</v>
      </c>
      <c r="V212" s="213" t="s">
        <v>3443</v>
      </c>
      <c r="W212" s="213" t="s">
        <v>3572</v>
      </c>
      <c r="X212" s="213" t="s">
        <v>3445</v>
      </c>
      <c r="Y212" s="213" t="s">
        <v>4996</v>
      </c>
      <c r="Z212" s="213" t="s">
        <v>3670</v>
      </c>
      <c r="AA212" s="213">
        <v>42</v>
      </c>
      <c r="AB212" s="213">
        <v>42</v>
      </c>
      <c r="AC212" s="207" t="s">
        <v>4530</v>
      </c>
      <c r="AD212"/>
      <c r="AE212" s="206"/>
      <c r="AF212" s="94"/>
      <c r="AG212" s="94"/>
      <c r="AH212" s="94"/>
      <c r="AI212" s="94"/>
      <c r="AJ212" s="94"/>
      <c r="AK212" s="94"/>
      <c r="AL212" s="94"/>
      <c r="AM212" s="254"/>
      <c r="AN212" s="254"/>
      <c r="AO212" s="94"/>
      <c r="AP212" s="94"/>
      <c r="AQ212" s="94"/>
      <c r="AR212" s="94"/>
      <c r="AS212" s="207"/>
    </row>
    <row r="213" spans="13:45" ht="12.75">
      <c r="M213" s="104"/>
      <c r="O213" s="206" t="s">
        <v>3101</v>
      </c>
      <c r="P213" s="94" t="s">
        <v>1688</v>
      </c>
      <c r="Q213" s="180">
        <v>152242</v>
      </c>
      <c r="R213" s="258">
        <v>1600</v>
      </c>
      <c r="S213" s="259">
        <v>65</v>
      </c>
      <c r="T213" s="213" t="s">
        <v>4997</v>
      </c>
      <c r="U213" s="213">
        <v>4</v>
      </c>
      <c r="V213" s="213" t="s">
        <v>3443</v>
      </c>
      <c r="W213" s="213" t="s">
        <v>3572</v>
      </c>
      <c r="X213" s="213" t="s">
        <v>3441</v>
      </c>
      <c r="Y213" s="213" t="s">
        <v>4995</v>
      </c>
      <c r="Z213" s="213" t="s">
        <v>3634</v>
      </c>
      <c r="AA213" s="213">
        <v>55</v>
      </c>
      <c r="AB213" s="213">
        <v>65</v>
      </c>
      <c r="AC213" s="207" t="s">
        <v>4530</v>
      </c>
      <c r="AD213"/>
      <c r="AE213" s="206"/>
      <c r="AF213" s="94"/>
      <c r="AG213" s="94"/>
      <c r="AH213" s="94"/>
      <c r="AI213" s="94"/>
      <c r="AJ213" s="94"/>
      <c r="AK213" s="94"/>
      <c r="AL213" s="94"/>
      <c r="AM213" s="254"/>
      <c r="AN213" s="254"/>
      <c r="AO213" s="94"/>
      <c r="AP213" s="94"/>
      <c r="AQ213" s="94"/>
      <c r="AR213" s="94"/>
      <c r="AS213" s="207"/>
    </row>
    <row r="214" spans="13:45" ht="12.75">
      <c r="M214" s="104"/>
      <c r="O214" s="206" t="s">
        <v>3102</v>
      </c>
      <c r="P214" s="94" t="s">
        <v>1689</v>
      </c>
      <c r="Q214" s="180">
        <v>165090</v>
      </c>
      <c r="R214" s="258">
        <v>1600</v>
      </c>
      <c r="S214" s="259">
        <v>65</v>
      </c>
      <c r="T214" s="213" t="s">
        <v>4997</v>
      </c>
      <c r="U214" s="213">
        <v>4</v>
      </c>
      <c r="V214" s="213" t="s">
        <v>3443</v>
      </c>
      <c r="W214" s="213" t="s">
        <v>3572</v>
      </c>
      <c r="X214" s="213" t="s">
        <v>3441</v>
      </c>
      <c r="Y214" s="213" t="s">
        <v>4999</v>
      </c>
      <c r="Z214" s="213" t="s">
        <v>3634</v>
      </c>
      <c r="AA214" s="213">
        <v>55</v>
      </c>
      <c r="AB214" s="213">
        <v>65</v>
      </c>
      <c r="AC214" s="207" t="s">
        <v>4530</v>
      </c>
      <c r="AD214"/>
      <c r="AE214" s="206"/>
      <c r="AF214" s="94"/>
      <c r="AG214" s="94"/>
      <c r="AH214" s="94"/>
      <c r="AI214" s="94"/>
      <c r="AJ214" s="94"/>
      <c r="AK214" s="94"/>
      <c r="AL214" s="94"/>
      <c r="AM214" s="254"/>
      <c r="AN214" s="254"/>
      <c r="AO214" s="94"/>
      <c r="AP214" s="94"/>
      <c r="AQ214" s="94"/>
      <c r="AR214" s="94"/>
      <c r="AS214" s="207"/>
    </row>
    <row r="215" spans="13:45" ht="12.75">
      <c r="M215" s="104"/>
      <c r="O215" s="206" t="s">
        <v>3103</v>
      </c>
      <c r="P215" s="94" t="s">
        <v>4115</v>
      </c>
      <c r="Q215" s="180">
        <v>157872</v>
      </c>
      <c r="R215" s="258">
        <v>1600</v>
      </c>
      <c r="S215" s="259">
        <v>65</v>
      </c>
      <c r="T215" s="213" t="s">
        <v>4997</v>
      </c>
      <c r="U215" s="213">
        <v>4</v>
      </c>
      <c r="V215" s="213" t="s">
        <v>3443</v>
      </c>
      <c r="W215" s="213" t="s">
        <v>3572</v>
      </c>
      <c r="X215" s="213" t="s">
        <v>3441</v>
      </c>
      <c r="Y215" s="213" t="s">
        <v>4996</v>
      </c>
      <c r="Z215" s="213" t="s">
        <v>3634</v>
      </c>
      <c r="AA215" s="213">
        <v>55</v>
      </c>
      <c r="AB215" s="213">
        <v>65</v>
      </c>
      <c r="AC215" s="207" t="s">
        <v>4530</v>
      </c>
      <c r="AD215"/>
      <c r="AE215" s="206"/>
      <c r="AF215" s="94"/>
      <c r="AG215" s="94"/>
      <c r="AH215" s="94"/>
      <c r="AI215" s="94"/>
      <c r="AJ215" s="94"/>
      <c r="AK215" s="94"/>
      <c r="AL215" s="94"/>
      <c r="AM215" s="254"/>
      <c r="AN215" s="254"/>
      <c r="AO215" s="94"/>
      <c r="AP215" s="94"/>
      <c r="AQ215" s="94"/>
      <c r="AR215" s="94"/>
      <c r="AS215" s="207"/>
    </row>
    <row r="216" spans="13:45" ht="12.75">
      <c r="M216" s="104"/>
      <c r="O216" s="206" t="s">
        <v>3104</v>
      </c>
      <c r="P216" s="94" t="s">
        <v>4116</v>
      </c>
      <c r="Q216" s="180">
        <v>189299</v>
      </c>
      <c r="R216" s="258">
        <v>1600</v>
      </c>
      <c r="S216" s="259">
        <v>65</v>
      </c>
      <c r="T216" s="213" t="s">
        <v>4997</v>
      </c>
      <c r="U216" s="213">
        <v>4</v>
      </c>
      <c r="V216" s="213" t="s">
        <v>3443</v>
      </c>
      <c r="W216" s="213" t="s">
        <v>3572</v>
      </c>
      <c r="X216" s="213" t="s">
        <v>3445</v>
      </c>
      <c r="Y216" s="213" t="s">
        <v>4999</v>
      </c>
      <c r="Z216" s="213" t="s">
        <v>3634</v>
      </c>
      <c r="AA216" s="213">
        <v>55</v>
      </c>
      <c r="AB216" s="213">
        <v>65</v>
      </c>
      <c r="AC216" s="207" t="s">
        <v>4530</v>
      </c>
      <c r="AD216"/>
      <c r="AE216" s="206"/>
      <c r="AF216" s="94"/>
      <c r="AG216" s="94"/>
      <c r="AH216" s="94"/>
      <c r="AI216" s="94"/>
      <c r="AJ216" s="94"/>
      <c r="AK216" s="94"/>
      <c r="AL216" s="94"/>
      <c r="AM216" s="254"/>
      <c r="AN216" s="254"/>
      <c r="AO216" s="94"/>
      <c r="AP216" s="94"/>
      <c r="AQ216" s="94"/>
      <c r="AR216" s="94"/>
      <c r="AS216" s="207"/>
    </row>
    <row r="217" spans="13:45" ht="12.75">
      <c r="M217" s="104"/>
      <c r="O217" s="206" t="s">
        <v>3105</v>
      </c>
      <c r="P217" s="94" t="s">
        <v>4117</v>
      </c>
      <c r="Q217" s="180">
        <v>182082</v>
      </c>
      <c r="R217" s="258">
        <v>1600</v>
      </c>
      <c r="S217" s="259">
        <v>65</v>
      </c>
      <c r="T217" s="213" t="s">
        <v>4997</v>
      </c>
      <c r="U217" s="213">
        <v>4</v>
      </c>
      <c r="V217" s="213" t="s">
        <v>3443</v>
      </c>
      <c r="W217" s="213" t="s">
        <v>3572</v>
      </c>
      <c r="X217" s="213" t="s">
        <v>3445</v>
      </c>
      <c r="Y217" s="213" t="s">
        <v>4996</v>
      </c>
      <c r="Z217" s="213" t="s">
        <v>3634</v>
      </c>
      <c r="AA217" s="213">
        <v>55</v>
      </c>
      <c r="AB217" s="213">
        <v>65</v>
      </c>
      <c r="AC217" s="207" t="s">
        <v>4530</v>
      </c>
      <c r="AD217"/>
      <c r="AE217" s="206"/>
      <c r="AF217" s="94"/>
      <c r="AG217" s="94"/>
      <c r="AH217" s="94"/>
      <c r="AI217" s="94"/>
      <c r="AJ217" s="94"/>
      <c r="AK217" s="94"/>
      <c r="AL217" s="94"/>
      <c r="AM217" s="254"/>
      <c r="AN217" s="254"/>
      <c r="AO217" s="94"/>
      <c r="AP217" s="94"/>
      <c r="AQ217" s="94"/>
      <c r="AR217" s="94"/>
      <c r="AS217" s="207"/>
    </row>
    <row r="218" spans="13:45" ht="12.75">
      <c r="M218" s="104"/>
      <c r="O218" s="206" t="s">
        <v>3106</v>
      </c>
      <c r="P218" s="94" t="s">
        <v>3970</v>
      </c>
      <c r="Q218" s="180">
        <v>208052</v>
      </c>
      <c r="R218" s="258">
        <v>1600</v>
      </c>
      <c r="S218" s="259" t="s">
        <v>5004</v>
      </c>
      <c r="T218" s="213" t="s">
        <v>4997</v>
      </c>
      <c r="U218" s="213">
        <v>4</v>
      </c>
      <c r="V218" s="213" t="s">
        <v>3443</v>
      </c>
      <c r="W218" s="213" t="s">
        <v>3572</v>
      </c>
      <c r="X218" s="213" t="s">
        <v>3441</v>
      </c>
      <c r="Y218" s="213" t="s">
        <v>4995</v>
      </c>
      <c r="Z218" s="213" t="s">
        <v>3650</v>
      </c>
      <c r="AA218" s="213">
        <v>10</v>
      </c>
      <c r="AB218" s="213">
        <v>130</v>
      </c>
      <c r="AC218" s="207" t="s">
        <v>3651</v>
      </c>
      <c r="AD218"/>
      <c r="AE218" s="206"/>
      <c r="AF218" s="94"/>
      <c r="AG218" s="94"/>
      <c r="AH218" s="94"/>
      <c r="AI218" s="94"/>
      <c r="AJ218" s="94"/>
      <c r="AK218" s="94"/>
      <c r="AL218" s="94"/>
      <c r="AM218" s="254"/>
      <c r="AN218" s="254"/>
      <c r="AO218" s="94"/>
      <c r="AP218" s="94"/>
      <c r="AQ218" s="94"/>
      <c r="AR218" s="94"/>
      <c r="AS218" s="207"/>
    </row>
    <row r="219" spans="13:45" ht="12.75">
      <c r="M219" s="104"/>
      <c r="O219" s="206" t="s">
        <v>3107</v>
      </c>
      <c r="P219" s="94" t="s">
        <v>3971</v>
      </c>
      <c r="Q219" s="180">
        <v>220900</v>
      </c>
      <c r="R219" s="258">
        <v>1600</v>
      </c>
      <c r="S219" s="259" t="s">
        <v>5004</v>
      </c>
      <c r="T219" s="213" t="s">
        <v>4997</v>
      </c>
      <c r="U219" s="213">
        <v>4</v>
      </c>
      <c r="V219" s="213" t="s">
        <v>3443</v>
      </c>
      <c r="W219" s="213" t="s">
        <v>3572</v>
      </c>
      <c r="X219" s="213" t="s">
        <v>3441</v>
      </c>
      <c r="Y219" s="213" t="s">
        <v>4999</v>
      </c>
      <c r="Z219" s="213" t="s">
        <v>3650</v>
      </c>
      <c r="AA219" s="213">
        <v>10</v>
      </c>
      <c r="AB219" s="213">
        <v>130</v>
      </c>
      <c r="AC219" s="207" t="s">
        <v>3651</v>
      </c>
      <c r="AD219"/>
      <c r="AE219" s="206"/>
      <c r="AF219" s="94"/>
      <c r="AG219" s="94"/>
      <c r="AH219" s="94"/>
      <c r="AI219" s="94"/>
      <c r="AJ219" s="94"/>
      <c r="AK219" s="94"/>
      <c r="AL219" s="94"/>
      <c r="AM219" s="254"/>
      <c r="AN219" s="254"/>
      <c r="AO219" s="94"/>
      <c r="AP219" s="94"/>
      <c r="AQ219" s="94"/>
      <c r="AR219" s="94"/>
      <c r="AS219" s="207"/>
    </row>
    <row r="220" spans="13:45" ht="12.75">
      <c r="M220" s="104"/>
      <c r="O220" s="206" t="s">
        <v>3108</v>
      </c>
      <c r="P220" s="94" t="s">
        <v>3972</v>
      </c>
      <c r="Q220" s="180">
        <v>213682</v>
      </c>
      <c r="R220" s="258">
        <v>1600</v>
      </c>
      <c r="S220" s="259" t="s">
        <v>5004</v>
      </c>
      <c r="T220" s="213" t="s">
        <v>4997</v>
      </c>
      <c r="U220" s="213">
        <v>4</v>
      </c>
      <c r="V220" s="213" t="s">
        <v>3443</v>
      </c>
      <c r="W220" s="213" t="s">
        <v>3572</v>
      </c>
      <c r="X220" s="213" t="s">
        <v>3441</v>
      </c>
      <c r="Y220" s="213" t="s">
        <v>4996</v>
      </c>
      <c r="Z220" s="213" t="s">
        <v>3650</v>
      </c>
      <c r="AA220" s="213">
        <v>10</v>
      </c>
      <c r="AB220" s="213">
        <v>130</v>
      </c>
      <c r="AC220" s="207" t="s">
        <v>3651</v>
      </c>
      <c r="AD220"/>
      <c r="AE220" s="206"/>
      <c r="AF220" s="94"/>
      <c r="AG220" s="94"/>
      <c r="AH220" s="94"/>
      <c r="AI220" s="94"/>
      <c r="AJ220" s="94"/>
      <c r="AK220" s="94"/>
      <c r="AL220" s="94"/>
      <c r="AM220" s="254"/>
      <c r="AN220" s="254"/>
      <c r="AO220" s="94"/>
      <c r="AP220" s="94"/>
      <c r="AQ220" s="94"/>
      <c r="AR220" s="94"/>
      <c r="AS220" s="207"/>
    </row>
    <row r="221" spans="13:45" ht="12.75">
      <c r="M221" s="104"/>
      <c r="O221" s="206" t="s">
        <v>3109</v>
      </c>
      <c r="P221" s="94" t="s">
        <v>3973</v>
      </c>
      <c r="Q221" s="180">
        <v>245109</v>
      </c>
      <c r="R221" s="258">
        <v>1600</v>
      </c>
      <c r="S221" s="259" t="s">
        <v>5004</v>
      </c>
      <c r="T221" s="213" t="s">
        <v>4997</v>
      </c>
      <c r="U221" s="213">
        <v>4</v>
      </c>
      <c r="V221" s="213" t="s">
        <v>3443</v>
      </c>
      <c r="W221" s="213" t="s">
        <v>3572</v>
      </c>
      <c r="X221" s="213" t="s">
        <v>3445</v>
      </c>
      <c r="Y221" s="213" t="s">
        <v>4999</v>
      </c>
      <c r="Z221" s="213" t="s">
        <v>3650</v>
      </c>
      <c r="AA221" s="213">
        <v>10</v>
      </c>
      <c r="AB221" s="213">
        <v>130</v>
      </c>
      <c r="AC221" s="207" t="s">
        <v>3651</v>
      </c>
      <c r="AD221"/>
      <c r="AE221" s="206"/>
      <c r="AF221" s="94"/>
      <c r="AG221" s="94"/>
      <c r="AH221" s="94"/>
      <c r="AI221" s="94"/>
      <c r="AJ221" s="94"/>
      <c r="AK221" s="94"/>
      <c r="AL221" s="94"/>
      <c r="AM221" s="254"/>
      <c r="AN221" s="254"/>
      <c r="AO221" s="94"/>
      <c r="AP221" s="94"/>
      <c r="AQ221" s="94"/>
      <c r="AR221" s="94"/>
      <c r="AS221" s="207"/>
    </row>
    <row r="222" spans="13:45" ht="12.75">
      <c r="M222" s="104"/>
      <c r="O222" s="206" t="s">
        <v>3110</v>
      </c>
      <c r="P222" s="94" t="s">
        <v>779</v>
      </c>
      <c r="Q222" s="180">
        <v>237890</v>
      </c>
      <c r="R222" s="258">
        <v>1600</v>
      </c>
      <c r="S222" s="259" t="s">
        <v>5004</v>
      </c>
      <c r="T222" s="213" t="s">
        <v>4997</v>
      </c>
      <c r="U222" s="213">
        <v>4</v>
      </c>
      <c r="V222" s="213" t="s">
        <v>3443</v>
      </c>
      <c r="W222" s="213" t="s">
        <v>3572</v>
      </c>
      <c r="X222" s="213" t="s">
        <v>3445</v>
      </c>
      <c r="Y222" s="213" t="s">
        <v>4996</v>
      </c>
      <c r="Z222" s="213" t="s">
        <v>3650</v>
      </c>
      <c r="AA222" s="213">
        <v>10</v>
      </c>
      <c r="AB222" s="213">
        <v>130</v>
      </c>
      <c r="AC222" s="207" t="s">
        <v>3651</v>
      </c>
      <c r="AD222"/>
      <c r="AE222" s="206"/>
      <c r="AF222" s="94"/>
      <c r="AG222" s="94"/>
      <c r="AH222" s="94"/>
      <c r="AI222" s="94"/>
      <c r="AJ222" s="94"/>
      <c r="AK222" s="94"/>
      <c r="AL222" s="94"/>
      <c r="AM222" s="254"/>
      <c r="AN222" s="254"/>
      <c r="AO222" s="94"/>
      <c r="AP222" s="94"/>
      <c r="AQ222" s="94"/>
      <c r="AR222" s="94"/>
      <c r="AS222" s="207"/>
    </row>
    <row r="223" spans="13:45" ht="12.75">
      <c r="M223" s="104"/>
      <c r="O223" s="206" t="s">
        <v>3111</v>
      </c>
      <c r="P223" s="94" t="s">
        <v>2202</v>
      </c>
      <c r="Q223" s="180">
        <v>160290</v>
      </c>
      <c r="R223" s="258">
        <v>2000</v>
      </c>
      <c r="S223" s="259">
        <v>42</v>
      </c>
      <c r="T223" s="213" t="s">
        <v>4997</v>
      </c>
      <c r="U223" s="213">
        <v>4</v>
      </c>
      <c r="V223" s="213" t="s">
        <v>3443</v>
      </c>
      <c r="W223" s="213" t="s">
        <v>3572</v>
      </c>
      <c r="X223" s="213" t="s">
        <v>3441</v>
      </c>
      <c r="Y223" s="213" t="s">
        <v>4995</v>
      </c>
      <c r="Z223" s="213" t="s">
        <v>3670</v>
      </c>
      <c r="AA223" s="213">
        <v>42</v>
      </c>
      <c r="AB223" s="213">
        <v>42</v>
      </c>
      <c r="AC223" s="207" t="s">
        <v>4530</v>
      </c>
      <c r="AD223"/>
      <c r="AE223" s="206"/>
      <c r="AF223" s="94"/>
      <c r="AG223" s="94"/>
      <c r="AH223" s="94"/>
      <c r="AI223" s="94"/>
      <c r="AJ223" s="94"/>
      <c r="AK223" s="94"/>
      <c r="AL223" s="94"/>
      <c r="AM223" s="254"/>
      <c r="AN223" s="254"/>
      <c r="AO223" s="94"/>
      <c r="AP223" s="94"/>
      <c r="AQ223" s="94"/>
      <c r="AR223" s="94"/>
      <c r="AS223" s="207"/>
    </row>
    <row r="224" spans="13:45" ht="12.75">
      <c r="M224" s="104"/>
      <c r="O224" s="206" t="s">
        <v>3112</v>
      </c>
      <c r="P224" s="94" t="s">
        <v>2203</v>
      </c>
      <c r="Q224" s="180">
        <v>173139</v>
      </c>
      <c r="R224" s="258">
        <v>2000</v>
      </c>
      <c r="S224" s="259">
        <v>42</v>
      </c>
      <c r="T224" s="213" t="s">
        <v>4997</v>
      </c>
      <c r="U224" s="213">
        <v>4</v>
      </c>
      <c r="V224" s="213" t="s">
        <v>3443</v>
      </c>
      <c r="W224" s="213" t="s">
        <v>3572</v>
      </c>
      <c r="X224" s="213" t="s">
        <v>3441</v>
      </c>
      <c r="Y224" s="213" t="s">
        <v>4999</v>
      </c>
      <c r="Z224" s="213" t="s">
        <v>3670</v>
      </c>
      <c r="AA224" s="213">
        <v>42</v>
      </c>
      <c r="AB224" s="213">
        <v>42</v>
      </c>
      <c r="AC224" s="207" t="s">
        <v>4530</v>
      </c>
      <c r="AD224"/>
      <c r="AE224" s="206"/>
      <c r="AF224" s="94"/>
      <c r="AG224" s="94"/>
      <c r="AH224" s="94"/>
      <c r="AI224" s="94"/>
      <c r="AJ224" s="94"/>
      <c r="AK224" s="94"/>
      <c r="AL224" s="94"/>
      <c r="AM224" s="254"/>
      <c r="AN224" s="254"/>
      <c r="AO224" s="94"/>
      <c r="AP224" s="94"/>
      <c r="AQ224" s="94"/>
      <c r="AR224" s="94"/>
      <c r="AS224" s="207"/>
    </row>
    <row r="225" spans="13:45" ht="12.75">
      <c r="M225" s="104"/>
      <c r="O225" s="206" t="s">
        <v>3113</v>
      </c>
      <c r="P225" s="94" t="s">
        <v>2204</v>
      </c>
      <c r="Q225" s="180">
        <v>165921</v>
      </c>
      <c r="R225" s="258">
        <v>2000</v>
      </c>
      <c r="S225" s="259">
        <v>42</v>
      </c>
      <c r="T225" s="213" t="s">
        <v>4997</v>
      </c>
      <c r="U225" s="213">
        <v>4</v>
      </c>
      <c r="V225" s="213" t="s">
        <v>3443</v>
      </c>
      <c r="W225" s="213" t="s">
        <v>3572</v>
      </c>
      <c r="X225" s="213" t="s">
        <v>3441</v>
      </c>
      <c r="Y225" s="213" t="s">
        <v>4996</v>
      </c>
      <c r="Z225" s="213" t="s">
        <v>3670</v>
      </c>
      <c r="AA225" s="213">
        <v>42</v>
      </c>
      <c r="AB225" s="213">
        <v>42</v>
      </c>
      <c r="AC225" s="207" t="s">
        <v>4530</v>
      </c>
      <c r="AD225"/>
      <c r="AE225" s="206"/>
      <c r="AF225" s="94"/>
      <c r="AG225" s="94"/>
      <c r="AH225" s="94"/>
      <c r="AI225" s="94"/>
      <c r="AJ225" s="94"/>
      <c r="AK225" s="94"/>
      <c r="AL225" s="94"/>
      <c r="AM225" s="254"/>
      <c r="AN225" s="254"/>
      <c r="AO225" s="94"/>
      <c r="AP225" s="94"/>
      <c r="AQ225" s="94"/>
      <c r="AR225" s="94"/>
      <c r="AS225" s="207"/>
    </row>
    <row r="226" spans="13:45" ht="12.75">
      <c r="M226" s="104"/>
      <c r="O226" s="206" t="s">
        <v>3114</v>
      </c>
      <c r="P226" s="94" t="s">
        <v>2205</v>
      </c>
      <c r="Q226" s="180">
        <v>197347</v>
      </c>
      <c r="R226" s="258">
        <v>2000</v>
      </c>
      <c r="S226" s="259">
        <v>42</v>
      </c>
      <c r="T226" s="213" t="s">
        <v>4997</v>
      </c>
      <c r="U226" s="213">
        <v>4</v>
      </c>
      <c r="V226" s="213" t="s">
        <v>3443</v>
      </c>
      <c r="W226" s="213" t="s">
        <v>3572</v>
      </c>
      <c r="X226" s="213" t="s">
        <v>3445</v>
      </c>
      <c r="Y226" s="213" t="s">
        <v>4999</v>
      </c>
      <c r="Z226" s="213" t="s">
        <v>3670</v>
      </c>
      <c r="AA226" s="213">
        <v>42</v>
      </c>
      <c r="AB226" s="213">
        <v>42</v>
      </c>
      <c r="AC226" s="207" t="s">
        <v>4530</v>
      </c>
      <c r="AD226"/>
      <c r="AE226" s="206"/>
      <c r="AF226" s="94"/>
      <c r="AG226" s="94"/>
      <c r="AH226" s="94"/>
      <c r="AI226" s="94"/>
      <c r="AJ226" s="94"/>
      <c r="AK226" s="94"/>
      <c r="AL226" s="94"/>
      <c r="AM226" s="254"/>
      <c r="AN226" s="254"/>
      <c r="AO226" s="94"/>
      <c r="AP226" s="94"/>
      <c r="AQ226" s="94"/>
      <c r="AR226" s="94"/>
      <c r="AS226" s="207"/>
    </row>
    <row r="227" spans="13:45" ht="12.75">
      <c r="M227" s="104"/>
      <c r="O227" s="206" t="s">
        <v>2459</v>
      </c>
      <c r="P227" s="94" t="s">
        <v>2206</v>
      </c>
      <c r="Q227" s="180">
        <v>190130</v>
      </c>
      <c r="R227" s="258">
        <v>2000</v>
      </c>
      <c r="S227" s="259">
        <v>42</v>
      </c>
      <c r="T227" s="213" t="s">
        <v>4997</v>
      </c>
      <c r="U227" s="213">
        <v>4</v>
      </c>
      <c r="V227" s="213" t="s">
        <v>3443</v>
      </c>
      <c r="W227" s="213" t="s">
        <v>3572</v>
      </c>
      <c r="X227" s="213" t="s">
        <v>3445</v>
      </c>
      <c r="Y227" s="213" t="s">
        <v>4996</v>
      </c>
      <c r="Z227" s="213" t="s">
        <v>3670</v>
      </c>
      <c r="AA227" s="213">
        <v>42</v>
      </c>
      <c r="AB227" s="213">
        <v>42</v>
      </c>
      <c r="AC227" s="207" t="s">
        <v>4530</v>
      </c>
      <c r="AD227"/>
      <c r="AE227" s="206"/>
      <c r="AF227" s="94"/>
      <c r="AG227" s="94"/>
      <c r="AH227" s="94"/>
      <c r="AI227" s="94"/>
      <c r="AJ227" s="94"/>
      <c r="AK227" s="94"/>
      <c r="AL227" s="94"/>
      <c r="AM227" s="254"/>
      <c r="AN227" s="254"/>
      <c r="AO227" s="94"/>
      <c r="AP227" s="94"/>
      <c r="AQ227" s="94"/>
      <c r="AR227" s="94"/>
      <c r="AS227" s="207"/>
    </row>
    <row r="228" spans="13:45" ht="12.75">
      <c r="M228" s="104"/>
      <c r="O228" s="206" t="s">
        <v>2460</v>
      </c>
      <c r="P228" s="94" t="s">
        <v>4543</v>
      </c>
      <c r="Q228" s="180">
        <v>194677</v>
      </c>
      <c r="R228" s="258">
        <v>2000</v>
      </c>
      <c r="S228" s="259">
        <v>65</v>
      </c>
      <c r="T228" s="213" t="s">
        <v>4997</v>
      </c>
      <c r="U228" s="213">
        <v>4</v>
      </c>
      <c r="V228" s="213" t="s">
        <v>3443</v>
      </c>
      <c r="W228" s="213" t="s">
        <v>3572</v>
      </c>
      <c r="X228" s="213" t="s">
        <v>3441</v>
      </c>
      <c r="Y228" s="213" t="s">
        <v>4995</v>
      </c>
      <c r="Z228" s="213" t="s">
        <v>3634</v>
      </c>
      <c r="AA228" s="213">
        <v>55</v>
      </c>
      <c r="AB228" s="213">
        <v>65</v>
      </c>
      <c r="AC228" s="207" t="s">
        <v>4530</v>
      </c>
      <c r="AD228"/>
      <c r="AE228" s="206"/>
      <c r="AF228" s="94"/>
      <c r="AG228" s="94"/>
      <c r="AH228" s="94"/>
      <c r="AI228" s="94"/>
      <c r="AJ228" s="94"/>
      <c r="AK228" s="94"/>
      <c r="AL228" s="94"/>
      <c r="AM228" s="254"/>
      <c r="AN228" s="254"/>
      <c r="AO228" s="94"/>
      <c r="AP228" s="94"/>
      <c r="AQ228" s="94"/>
      <c r="AR228" s="94"/>
      <c r="AS228" s="207"/>
    </row>
    <row r="229" spans="13:45" ht="12.75">
      <c r="M229" s="104"/>
      <c r="O229" s="206" t="s">
        <v>2461</v>
      </c>
      <c r="P229" s="94" t="s">
        <v>4544</v>
      </c>
      <c r="Q229" s="180">
        <v>207525</v>
      </c>
      <c r="R229" s="258">
        <v>2000</v>
      </c>
      <c r="S229" s="259">
        <v>65</v>
      </c>
      <c r="T229" s="213" t="s">
        <v>4997</v>
      </c>
      <c r="U229" s="213">
        <v>4</v>
      </c>
      <c r="V229" s="213" t="s">
        <v>3443</v>
      </c>
      <c r="W229" s="213" t="s">
        <v>3572</v>
      </c>
      <c r="X229" s="213" t="s">
        <v>3441</v>
      </c>
      <c r="Y229" s="213" t="s">
        <v>4999</v>
      </c>
      <c r="Z229" s="213" t="s">
        <v>3634</v>
      </c>
      <c r="AA229" s="213">
        <v>55</v>
      </c>
      <c r="AB229" s="213">
        <v>65</v>
      </c>
      <c r="AC229" s="207" t="s">
        <v>4530</v>
      </c>
      <c r="AD229"/>
      <c r="AE229" s="206"/>
      <c r="AF229" s="94"/>
      <c r="AG229" s="94"/>
      <c r="AH229" s="94"/>
      <c r="AI229" s="94"/>
      <c r="AJ229" s="94"/>
      <c r="AK229" s="94"/>
      <c r="AL229" s="94"/>
      <c r="AM229" s="254"/>
      <c r="AN229" s="254"/>
      <c r="AO229" s="94"/>
      <c r="AP229" s="94"/>
      <c r="AQ229" s="94"/>
      <c r="AR229" s="94"/>
      <c r="AS229" s="207"/>
    </row>
    <row r="230" spans="13:45" ht="12.75">
      <c r="M230" s="104"/>
      <c r="O230" s="206" t="s">
        <v>2462</v>
      </c>
      <c r="P230" s="94" t="s">
        <v>4545</v>
      </c>
      <c r="Q230" s="180">
        <v>200307</v>
      </c>
      <c r="R230" s="258">
        <v>2000</v>
      </c>
      <c r="S230" s="259">
        <v>65</v>
      </c>
      <c r="T230" s="213" t="s">
        <v>4997</v>
      </c>
      <c r="U230" s="213">
        <v>4</v>
      </c>
      <c r="V230" s="213" t="s">
        <v>3443</v>
      </c>
      <c r="W230" s="213" t="s">
        <v>3572</v>
      </c>
      <c r="X230" s="213" t="s">
        <v>3441</v>
      </c>
      <c r="Y230" s="213" t="s">
        <v>4996</v>
      </c>
      <c r="Z230" s="213" t="s">
        <v>3634</v>
      </c>
      <c r="AA230" s="213">
        <v>55</v>
      </c>
      <c r="AB230" s="213">
        <v>65</v>
      </c>
      <c r="AC230" s="207" t="s">
        <v>4530</v>
      </c>
      <c r="AD230"/>
      <c r="AE230" s="206"/>
      <c r="AF230" s="94"/>
      <c r="AG230" s="94"/>
      <c r="AH230" s="94"/>
      <c r="AI230" s="94"/>
      <c r="AJ230" s="94"/>
      <c r="AK230" s="94"/>
      <c r="AL230" s="94"/>
      <c r="AM230" s="254"/>
      <c r="AN230" s="254"/>
      <c r="AO230" s="94"/>
      <c r="AP230" s="94"/>
      <c r="AQ230" s="94"/>
      <c r="AR230" s="94"/>
      <c r="AS230" s="207"/>
    </row>
    <row r="231" spans="13:45" ht="12.75">
      <c r="M231" s="104"/>
      <c r="O231" s="206" t="s">
        <v>2463</v>
      </c>
      <c r="P231" s="94" t="s">
        <v>4546</v>
      </c>
      <c r="Q231" s="180">
        <v>231734</v>
      </c>
      <c r="R231" s="258">
        <v>2000</v>
      </c>
      <c r="S231" s="259">
        <v>65</v>
      </c>
      <c r="T231" s="213" t="s">
        <v>4997</v>
      </c>
      <c r="U231" s="213">
        <v>4</v>
      </c>
      <c r="V231" s="213" t="s">
        <v>3443</v>
      </c>
      <c r="W231" s="213" t="s">
        <v>3572</v>
      </c>
      <c r="X231" s="213" t="s">
        <v>3445</v>
      </c>
      <c r="Y231" s="213" t="s">
        <v>4999</v>
      </c>
      <c r="Z231" s="213" t="s">
        <v>3634</v>
      </c>
      <c r="AA231" s="213">
        <v>55</v>
      </c>
      <c r="AB231" s="213">
        <v>65</v>
      </c>
      <c r="AC231" s="207" t="s">
        <v>4530</v>
      </c>
      <c r="AD231"/>
      <c r="AE231" s="206"/>
      <c r="AF231" s="94"/>
      <c r="AG231" s="94"/>
      <c r="AH231" s="94"/>
      <c r="AI231" s="94"/>
      <c r="AJ231" s="94"/>
      <c r="AK231" s="94"/>
      <c r="AL231" s="94"/>
      <c r="AM231" s="254"/>
      <c r="AN231" s="254"/>
      <c r="AO231" s="94"/>
      <c r="AP231" s="94"/>
      <c r="AQ231" s="94"/>
      <c r="AR231" s="94"/>
      <c r="AS231" s="207"/>
    </row>
    <row r="232" spans="13:45" ht="12.75">
      <c r="M232" s="104"/>
      <c r="O232" s="206" t="s">
        <v>2464</v>
      </c>
      <c r="P232" s="94" t="s">
        <v>4547</v>
      </c>
      <c r="Q232" s="180">
        <v>224517</v>
      </c>
      <c r="R232" s="258">
        <v>2000</v>
      </c>
      <c r="S232" s="259">
        <v>65</v>
      </c>
      <c r="T232" s="213" t="s">
        <v>4997</v>
      </c>
      <c r="U232" s="213">
        <v>4</v>
      </c>
      <c r="V232" s="213" t="s">
        <v>3443</v>
      </c>
      <c r="W232" s="213" t="s">
        <v>3572</v>
      </c>
      <c r="X232" s="213" t="s">
        <v>3445</v>
      </c>
      <c r="Y232" s="213" t="s">
        <v>4996</v>
      </c>
      <c r="Z232" s="213" t="s">
        <v>3634</v>
      </c>
      <c r="AA232" s="213">
        <v>55</v>
      </c>
      <c r="AB232" s="213">
        <v>65</v>
      </c>
      <c r="AC232" s="207" t="s">
        <v>4530</v>
      </c>
      <c r="AD232"/>
      <c r="AE232" s="206"/>
      <c r="AF232" s="94"/>
      <c r="AG232" s="94"/>
      <c r="AH232" s="94"/>
      <c r="AI232" s="94"/>
      <c r="AJ232" s="94"/>
      <c r="AK232" s="94"/>
      <c r="AL232" s="94"/>
      <c r="AM232" s="254"/>
      <c r="AN232" s="254"/>
      <c r="AO232" s="94"/>
      <c r="AP232" s="94"/>
      <c r="AQ232" s="94"/>
      <c r="AR232" s="94"/>
      <c r="AS232" s="207"/>
    </row>
    <row r="233" spans="13:45" ht="12.75">
      <c r="M233" s="104"/>
      <c r="O233" s="206" t="s">
        <v>2466</v>
      </c>
      <c r="P233" s="94" t="s">
        <v>4550</v>
      </c>
      <c r="Q233" s="180">
        <v>97719</v>
      </c>
      <c r="R233" s="258">
        <v>1250</v>
      </c>
      <c r="S233" s="259">
        <v>75</v>
      </c>
      <c r="T233" s="213" t="s">
        <v>5000</v>
      </c>
      <c r="U233" s="213">
        <v>3</v>
      </c>
      <c r="V233" s="213" t="s">
        <v>3439</v>
      </c>
      <c r="W233" s="213" t="s">
        <v>3361</v>
      </c>
      <c r="X233" s="213" t="s">
        <v>3441</v>
      </c>
      <c r="Y233" s="213" t="s">
        <v>4995</v>
      </c>
      <c r="Z233" s="213" t="s">
        <v>4549</v>
      </c>
      <c r="AA233" s="213">
        <v>75</v>
      </c>
      <c r="AB233" s="213">
        <v>75</v>
      </c>
      <c r="AC233" s="207" t="s">
        <v>4530</v>
      </c>
      <c r="AD233"/>
      <c r="AE233" s="206"/>
      <c r="AF233" s="94"/>
      <c r="AG233" s="94"/>
      <c r="AH233" s="94"/>
      <c r="AI233" s="94"/>
      <c r="AJ233" s="94"/>
      <c r="AK233" s="94"/>
      <c r="AL233" s="94"/>
      <c r="AM233" s="254"/>
      <c r="AN233" s="254"/>
      <c r="AO233" s="94"/>
      <c r="AP233" s="94"/>
      <c r="AQ233" s="94"/>
      <c r="AR233" s="94"/>
      <c r="AS233" s="207"/>
    </row>
    <row r="234" spans="13:45" ht="12.75">
      <c r="M234" s="104"/>
      <c r="O234" s="206" t="s">
        <v>2469</v>
      </c>
      <c r="P234" s="94" t="s">
        <v>4553</v>
      </c>
      <c r="Q234" s="180">
        <v>110566</v>
      </c>
      <c r="R234" s="258">
        <v>1250</v>
      </c>
      <c r="S234" s="259">
        <v>75</v>
      </c>
      <c r="T234" s="213" t="s">
        <v>5000</v>
      </c>
      <c r="U234" s="213">
        <v>3</v>
      </c>
      <c r="V234" s="213" t="s">
        <v>3439</v>
      </c>
      <c r="W234" s="213" t="s">
        <v>3361</v>
      </c>
      <c r="X234" s="213" t="s">
        <v>3441</v>
      </c>
      <c r="Y234" s="213" t="s">
        <v>4999</v>
      </c>
      <c r="Z234" s="213" t="s">
        <v>4549</v>
      </c>
      <c r="AA234" s="213">
        <v>75</v>
      </c>
      <c r="AB234" s="213">
        <v>75</v>
      </c>
      <c r="AC234" s="207" t="s">
        <v>4530</v>
      </c>
      <c r="AD234"/>
      <c r="AE234" s="206"/>
      <c r="AF234" s="94"/>
      <c r="AG234" s="94"/>
      <c r="AH234" s="94"/>
      <c r="AI234" s="94"/>
      <c r="AJ234" s="94"/>
      <c r="AK234" s="94"/>
      <c r="AL234" s="94"/>
      <c r="AM234" s="254"/>
      <c r="AN234" s="254"/>
      <c r="AO234" s="94"/>
      <c r="AP234" s="94"/>
      <c r="AQ234" s="94"/>
      <c r="AR234" s="94"/>
      <c r="AS234" s="207"/>
    </row>
    <row r="235" spans="13:45" ht="12.75">
      <c r="M235" s="104"/>
      <c r="O235" s="206" t="s">
        <v>2472</v>
      </c>
      <c r="P235" s="94" t="s">
        <v>3831</v>
      </c>
      <c r="Q235" s="180">
        <v>103348</v>
      </c>
      <c r="R235" s="258">
        <v>1250</v>
      </c>
      <c r="S235" s="259">
        <v>75</v>
      </c>
      <c r="T235" s="213" t="s">
        <v>5000</v>
      </c>
      <c r="U235" s="213">
        <v>3</v>
      </c>
      <c r="V235" s="213" t="s">
        <v>3439</v>
      </c>
      <c r="W235" s="213" t="s">
        <v>3361</v>
      </c>
      <c r="X235" s="213" t="s">
        <v>3441</v>
      </c>
      <c r="Y235" s="213" t="s">
        <v>4996</v>
      </c>
      <c r="Z235" s="213" t="s">
        <v>4549</v>
      </c>
      <c r="AA235" s="213">
        <v>75</v>
      </c>
      <c r="AB235" s="213">
        <v>75</v>
      </c>
      <c r="AC235" s="207" t="s">
        <v>4530</v>
      </c>
      <c r="AD235"/>
      <c r="AE235" s="206"/>
      <c r="AF235" s="94"/>
      <c r="AG235" s="94"/>
      <c r="AH235" s="94"/>
      <c r="AI235" s="94"/>
      <c r="AJ235" s="94"/>
      <c r="AK235" s="94"/>
      <c r="AL235" s="94"/>
      <c r="AM235" s="254"/>
      <c r="AN235" s="254"/>
      <c r="AO235" s="94"/>
      <c r="AP235" s="94"/>
      <c r="AQ235" s="94"/>
      <c r="AR235" s="94"/>
      <c r="AS235" s="207"/>
    </row>
    <row r="236" spans="13:45" ht="12.75">
      <c r="M236" s="104"/>
      <c r="O236" s="206" t="s">
        <v>2475</v>
      </c>
      <c r="P236" s="94" t="s">
        <v>3464</v>
      </c>
      <c r="Q236" s="180">
        <v>134774</v>
      </c>
      <c r="R236" s="258">
        <v>1250</v>
      </c>
      <c r="S236" s="259">
        <v>75</v>
      </c>
      <c r="T236" s="213" t="s">
        <v>5000</v>
      </c>
      <c r="U236" s="213">
        <v>3</v>
      </c>
      <c r="V236" s="213" t="s">
        <v>3439</v>
      </c>
      <c r="W236" s="213" t="s">
        <v>3361</v>
      </c>
      <c r="X236" s="213" t="s">
        <v>3445</v>
      </c>
      <c r="Y236" s="213" t="s">
        <v>4999</v>
      </c>
      <c r="Z236" s="213" t="s">
        <v>4549</v>
      </c>
      <c r="AA236" s="213">
        <v>75</v>
      </c>
      <c r="AB236" s="213">
        <v>75</v>
      </c>
      <c r="AC236" s="207" t="s">
        <v>4530</v>
      </c>
      <c r="AD236"/>
      <c r="AE236" s="206"/>
      <c r="AF236" s="94"/>
      <c r="AG236" s="94"/>
      <c r="AH236" s="94"/>
      <c r="AI236" s="94"/>
      <c r="AJ236" s="94"/>
      <c r="AK236" s="94"/>
      <c r="AL236" s="94"/>
      <c r="AM236" s="254"/>
      <c r="AN236" s="254"/>
      <c r="AO236" s="94"/>
      <c r="AP236" s="94"/>
      <c r="AQ236" s="94"/>
      <c r="AR236" s="94"/>
      <c r="AS236" s="207"/>
    </row>
    <row r="237" spans="13:45" ht="12.75">
      <c r="M237" s="104"/>
      <c r="O237" s="206" t="s">
        <v>2478</v>
      </c>
      <c r="P237" s="94" t="s">
        <v>3467</v>
      </c>
      <c r="Q237" s="180">
        <v>127557</v>
      </c>
      <c r="R237" s="258">
        <v>1250</v>
      </c>
      <c r="S237" s="259">
        <v>75</v>
      </c>
      <c r="T237" s="213" t="s">
        <v>5000</v>
      </c>
      <c r="U237" s="213">
        <v>3</v>
      </c>
      <c r="V237" s="213" t="s">
        <v>3439</v>
      </c>
      <c r="W237" s="213" t="s">
        <v>3361</v>
      </c>
      <c r="X237" s="213" t="s">
        <v>3445</v>
      </c>
      <c r="Y237" s="213" t="s">
        <v>4996</v>
      </c>
      <c r="Z237" s="213" t="s">
        <v>4549</v>
      </c>
      <c r="AA237" s="213">
        <v>75</v>
      </c>
      <c r="AB237" s="213">
        <v>75</v>
      </c>
      <c r="AC237" s="207" t="s">
        <v>4530</v>
      </c>
      <c r="AD237"/>
      <c r="AE237" s="206"/>
      <c r="AF237" s="94"/>
      <c r="AG237" s="94"/>
      <c r="AH237" s="94"/>
      <c r="AI237" s="94"/>
      <c r="AJ237" s="94"/>
      <c r="AK237" s="94"/>
      <c r="AL237" s="94"/>
      <c r="AM237" s="254"/>
      <c r="AN237" s="254"/>
      <c r="AO237" s="94"/>
      <c r="AP237" s="94"/>
      <c r="AQ237" s="94"/>
      <c r="AR237" s="94"/>
      <c r="AS237" s="207"/>
    </row>
    <row r="238" spans="13:45" ht="12.75">
      <c r="M238" s="104"/>
      <c r="O238" s="206" t="s">
        <v>2481</v>
      </c>
      <c r="P238" s="94" t="s">
        <v>3471</v>
      </c>
      <c r="Q238" s="180">
        <v>102920</v>
      </c>
      <c r="R238" s="258">
        <v>1250</v>
      </c>
      <c r="S238" s="259">
        <v>100</v>
      </c>
      <c r="T238" s="213" t="s">
        <v>5000</v>
      </c>
      <c r="U238" s="213">
        <v>3</v>
      </c>
      <c r="V238" s="213" t="s">
        <v>3439</v>
      </c>
      <c r="W238" s="213" t="s">
        <v>3361</v>
      </c>
      <c r="X238" s="213" t="s">
        <v>3441</v>
      </c>
      <c r="Y238" s="213" t="s">
        <v>4995</v>
      </c>
      <c r="Z238" s="213" t="s">
        <v>3470</v>
      </c>
      <c r="AA238" s="213">
        <v>75</v>
      </c>
      <c r="AB238" s="213">
        <v>85</v>
      </c>
      <c r="AC238" s="207" t="s">
        <v>4530</v>
      </c>
      <c r="AD238"/>
      <c r="AE238" s="206"/>
      <c r="AF238" s="94"/>
      <c r="AG238" s="94"/>
      <c r="AH238" s="94"/>
      <c r="AI238" s="94"/>
      <c r="AJ238" s="94"/>
      <c r="AK238" s="94"/>
      <c r="AL238" s="94"/>
      <c r="AM238" s="254"/>
      <c r="AN238" s="254"/>
      <c r="AO238" s="94"/>
      <c r="AP238" s="94"/>
      <c r="AQ238" s="94"/>
      <c r="AR238" s="94"/>
      <c r="AS238" s="207"/>
    </row>
    <row r="239" spans="13:45" ht="12.75">
      <c r="M239" s="104"/>
      <c r="O239" s="206" t="s">
        <v>2484</v>
      </c>
      <c r="P239" s="94" t="s">
        <v>4511</v>
      </c>
      <c r="Q239" s="180">
        <v>115769</v>
      </c>
      <c r="R239" s="258">
        <v>1250</v>
      </c>
      <c r="S239" s="259">
        <v>100</v>
      </c>
      <c r="T239" s="213" t="s">
        <v>5000</v>
      </c>
      <c r="U239" s="213">
        <v>3</v>
      </c>
      <c r="V239" s="213" t="s">
        <v>3439</v>
      </c>
      <c r="W239" s="213" t="s">
        <v>3361</v>
      </c>
      <c r="X239" s="213" t="s">
        <v>3441</v>
      </c>
      <c r="Y239" s="213" t="s">
        <v>4999</v>
      </c>
      <c r="Z239" s="213" t="s">
        <v>3470</v>
      </c>
      <c r="AA239" s="213">
        <v>75</v>
      </c>
      <c r="AB239" s="213">
        <v>85</v>
      </c>
      <c r="AC239" s="207" t="s">
        <v>4530</v>
      </c>
      <c r="AD239"/>
      <c r="AE239" s="206"/>
      <c r="AF239" s="94"/>
      <c r="AG239" s="94"/>
      <c r="AH239" s="94"/>
      <c r="AI239" s="94"/>
      <c r="AJ239" s="94"/>
      <c r="AK239" s="94"/>
      <c r="AL239" s="94"/>
      <c r="AM239" s="254"/>
      <c r="AN239" s="254"/>
      <c r="AO239" s="94"/>
      <c r="AP239" s="94"/>
      <c r="AQ239" s="94"/>
      <c r="AR239" s="94"/>
      <c r="AS239" s="207"/>
    </row>
    <row r="240" spans="13:45" ht="12.75">
      <c r="M240" s="104"/>
      <c r="O240" s="206" t="s">
        <v>2487</v>
      </c>
      <c r="P240" s="94" t="s">
        <v>4514</v>
      </c>
      <c r="Q240" s="180">
        <v>108550</v>
      </c>
      <c r="R240" s="258">
        <v>1250</v>
      </c>
      <c r="S240" s="259">
        <v>100</v>
      </c>
      <c r="T240" s="213" t="s">
        <v>5000</v>
      </c>
      <c r="U240" s="213">
        <v>3</v>
      </c>
      <c r="V240" s="213" t="s">
        <v>3439</v>
      </c>
      <c r="W240" s="213" t="s">
        <v>3361</v>
      </c>
      <c r="X240" s="213" t="s">
        <v>3441</v>
      </c>
      <c r="Y240" s="213" t="s">
        <v>4996</v>
      </c>
      <c r="Z240" s="213" t="s">
        <v>3470</v>
      </c>
      <c r="AA240" s="213">
        <v>75</v>
      </c>
      <c r="AB240" s="213">
        <v>85</v>
      </c>
      <c r="AC240" s="207" t="s">
        <v>4530</v>
      </c>
      <c r="AD240"/>
      <c r="AE240" s="206"/>
      <c r="AF240" s="94"/>
      <c r="AG240" s="94"/>
      <c r="AH240" s="94"/>
      <c r="AI240" s="94"/>
      <c r="AJ240" s="94"/>
      <c r="AK240" s="94"/>
      <c r="AL240" s="94"/>
      <c r="AM240" s="254"/>
      <c r="AN240" s="254"/>
      <c r="AO240" s="94"/>
      <c r="AP240" s="94"/>
      <c r="AQ240" s="94"/>
      <c r="AR240" s="94"/>
      <c r="AS240" s="207"/>
    </row>
    <row r="241" spans="13:45" ht="12.75">
      <c r="M241" s="104"/>
      <c r="O241" s="206" t="s">
        <v>2489</v>
      </c>
      <c r="P241" s="94" t="s">
        <v>4516</v>
      </c>
      <c r="Q241" s="180">
        <v>108552</v>
      </c>
      <c r="R241" s="258">
        <v>1250</v>
      </c>
      <c r="S241" s="259">
        <v>100</v>
      </c>
      <c r="T241" s="213" t="s">
        <v>5000</v>
      </c>
      <c r="U241" s="213">
        <v>3</v>
      </c>
      <c r="V241" s="213" t="s">
        <v>3439</v>
      </c>
      <c r="W241" s="213" t="s">
        <v>3361</v>
      </c>
      <c r="X241" s="213" t="s">
        <v>3441</v>
      </c>
      <c r="Y241" s="213" t="s">
        <v>4996</v>
      </c>
      <c r="Z241" s="213" t="s">
        <v>3470</v>
      </c>
      <c r="AA241" s="213">
        <v>75</v>
      </c>
      <c r="AB241" s="213">
        <v>85</v>
      </c>
      <c r="AC241" s="207" t="s">
        <v>4530</v>
      </c>
      <c r="AD241"/>
      <c r="AE241" s="206"/>
      <c r="AF241" s="94"/>
      <c r="AG241" s="94"/>
      <c r="AH241" s="94"/>
      <c r="AI241" s="94"/>
      <c r="AJ241" s="94"/>
      <c r="AK241" s="94"/>
      <c r="AL241" s="94"/>
      <c r="AM241" s="254"/>
      <c r="AN241" s="254"/>
      <c r="AO241" s="94"/>
      <c r="AP241" s="94"/>
      <c r="AQ241" s="94"/>
      <c r="AR241" s="94"/>
      <c r="AS241" s="207"/>
    </row>
    <row r="242" spans="13:45" ht="12.75">
      <c r="M242" s="104"/>
      <c r="O242" s="206" t="s">
        <v>2491</v>
      </c>
      <c r="P242" s="94" t="s">
        <v>4536</v>
      </c>
      <c r="Q242" s="180">
        <v>139977</v>
      </c>
      <c r="R242" s="258">
        <v>1250</v>
      </c>
      <c r="S242" s="259">
        <v>100</v>
      </c>
      <c r="T242" s="213" t="s">
        <v>5000</v>
      </c>
      <c r="U242" s="213">
        <v>3</v>
      </c>
      <c r="V242" s="213" t="s">
        <v>3439</v>
      </c>
      <c r="W242" s="213" t="s">
        <v>3361</v>
      </c>
      <c r="X242" s="213" t="s">
        <v>3445</v>
      </c>
      <c r="Y242" s="213" t="s">
        <v>4999</v>
      </c>
      <c r="Z242" s="213" t="s">
        <v>3470</v>
      </c>
      <c r="AA242" s="213">
        <v>75</v>
      </c>
      <c r="AB242" s="213">
        <v>85</v>
      </c>
      <c r="AC242" s="207" t="s">
        <v>4530</v>
      </c>
      <c r="AD242"/>
      <c r="AE242" s="206"/>
      <c r="AF242" s="94"/>
      <c r="AG242" s="94"/>
      <c r="AH242" s="94"/>
      <c r="AI242" s="94"/>
      <c r="AJ242" s="94"/>
      <c r="AK242" s="94"/>
      <c r="AL242" s="94"/>
      <c r="AM242" s="254"/>
      <c r="AN242" s="254"/>
      <c r="AO242" s="94"/>
      <c r="AP242" s="94"/>
      <c r="AQ242" s="94"/>
      <c r="AR242" s="94"/>
      <c r="AS242" s="207"/>
    </row>
    <row r="243" spans="13:45" ht="12.75">
      <c r="M243" s="104"/>
      <c r="O243" s="206" t="s">
        <v>2494</v>
      </c>
      <c r="P243" s="94" t="s">
        <v>4539</v>
      </c>
      <c r="Q243" s="180">
        <v>132759</v>
      </c>
      <c r="R243" s="258">
        <v>1250</v>
      </c>
      <c r="S243" s="259">
        <v>100</v>
      </c>
      <c r="T243" s="213" t="s">
        <v>5000</v>
      </c>
      <c r="U243" s="213">
        <v>3</v>
      </c>
      <c r="V243" s="213" t="s">
        <v>3439</v>
      </c>
      <c r="W243" s="213" t="s">
        <v>3361</v>
      </c>
      <c r="X243" s="213" t="s">
        <v>3445</v>
      </c>
      <c r="Y243" s="213" t="s">
        <v>4996</v>
      </c>
      <c r="Z243" s="213" t="s">
        <v>3470</v>
      </c>
      <c r="AA243" s="213">
        <v>75</v>
      </c>
      <c r="AB243" s="213">
        <v>85</v>
      </c>
      <c r="AC243" s="207" t="s">
        <v>4530</v>
      </c>
      <c r="AD243"/>
      <c r="AE243" s="206"/>
      <c r="AF243" s="94"/>
      <c r="AG243" s="94"/>
      <c r="AH243" s="94"/>
      <c r="AI243" s="94"/>
      <c r="AJ243" s="94"/>
      <c r="AK243" s="94"/>
      <c r="AL243" s="94"/>
      <c r="AM243" s="254"/>
      <c r="AN243" s="254"/>
      <c r="AO243" s="94"/>
      <c r="AP243" s="94"/>
      <c r="AQ243" s="94"/>
      <c r="AR243" s="94"/>
      <c r="AS243" s="207"/>
    </row>
    <row r="244" spans="13:45" ht="12.75">
      <c r="M244" s="104"/>
      <c r="O244" s="206" t="s">
        <v>2497</v>
      </c>
      <c r="P244" s="94" t="s">
        <v>646</v>
      </c>
      <c r="Q244" s="180">
        <v>126299</v>
      </c>
      <c r="R244" s="258">
        <v>1600</v>
      </c>
      <c r="S244" s="259">
        <v>75</v>
      </c>
      <c r="T244" s="213" t="s">
        <v>5000</v>
      </c>
      <c r="U244" s="213">
        <v>3</v>
      </c>
      <c r="V244" s="213" t="s">
        <v>3439</v>
      </c>
      <c r="W244" s="213" t="s">
        <v>3361</v>
      </c>
      <c r="X244" s="213" t="s">
        <v>3441</v>
      </c>
      <c r="Y244" s="213" t="s">
        <v>4995</v>
      </c>
      <c r="Z244" s="213" t="s">
        <v>4549</v>
      </c>
      <c r="AA244" s="213">
        <v>75</v>
      </c>
      <c r="AB244" s="213">
        <v>75</v>
      </c>
      <c r="AC244" s="207" t="s">
        <v>4530</v>
      </c>
      <c r="AD244"/>
      <c r="AE244" s="206"/>
      <c r="AF244" s="94"/>
      <c r="AG244" s="94"/>
      <c r="AH244" s="94"/>
      <c r="AI244" s="94"/>
      <c r="AJ244" s="94"/>
      <c r="AK244" s="94"/>
      <c r="AL244" s="94"/>
      <c r="AM244" s="254"/>
      <c r="AN244" s="254"/>
      <c r="AO244" s="94"/>
      <c r="AP244" s="94"/>
      <c r="AQ244" s="94"/>
      <c r="AR244" s="94"/>
      <c r="AS244" s="207"/>
    </row>
    <row r="245" spans="13:45" ht="12.75">
      <c r="M245" s="104"/>
      <c r="O245" s="206" t="s">
        <v>2500</v>
      </c>
      <c r="P245" s="94" t="s">
        <v>3946</v>
      </c>
      <c r="Q245" s="180">
        <v>139145</v>
      </c>
      <c r="R245" s="258">
        <v>1600</v>
      </c>
      <c r="S245" s="259">
        <v>75</v>
      </c>
      <c r="T245" s="213" t="s">
        <v>5000</v>
      </c>
      <c r="U245" s="213">
        <v>3</v>
      </c>
      <c r="V245" s="213" t="s">
        <v>3439</v>
      </c>
      <c r="W245" s="213" t="s">
        <v>3361</v>
      </c>
      <c r="X245" s="213" t="s">
        <v>3441</v>
      </c>
      <c r="Y245" s="213" t="s">
        <v>4999</v>
      </c>
      <c r="Z245" s="213" t="s">
        <v>4549</v>
      </c>
      <c r="AA245" s="213">
        <v>75</v>
      </c>
      <c r="AB245" s="213">
        <v>75</v>
      </c>
      <c r="AC245" s="207" t="s">
        <v>4530</v>
      </c>
      <c r="AD245"/>
      <c r="AE245" s="206"/>
      <c r="AF245" s="94"/>
      <c r="AG245" s="94"/>
      <c r="AH245" s="94"/>
      <c r="AI245" s="94"/>
      <c r="AJ245" s="94"/>
      <c r="AK245" s="94"/>
      <c r="AL245" s="94"/>
      <c r="AM245" s="254"/>
      <c r="AN245" s="254"/>
      <c r="AO245" s="94"/>
      <c r="AP245" s="94"/>
      <c r="AQ245" s="94"/>
      <c r="AR245" s="94"/>
      <c r="AS245" s="207"/>
    </row>
    <row r="246" spans="13:45" ht="12.75">
      <c r="M246" s="104"/>
      <c r="O246" s="206" t="s">
        <v>2503</v>
      </c>
      <c r="P246" s="94" t="s">
        <v>3949</v>
      </c>
      <c r="Q246" s="180">
        <v>131929</v>
      </c>
      <c r="R246" s="258">
        <v>1600</v>
      </c>
      <c r="S246" s="259">
        <v>75</v>
      </c>
      <c r="T246" s="213" t="s">
        <v>5000</v>
      </c>
      <c r="U246" s="213">
        <v>3</v>
      </c>
      <c r="V246" s="213" t="s">
        <v>3439</v>
      </c>
      <c r="W246" s="213" t="s">
        <v>3361</v>
      </c>
      <c r="X246" s="213" t="s">
        <v>3441</v>
      </c>
      <c r="Y246" s="213" t="s">
        <v>4996</v>
      </c>
      <c r="Z246" s="213" t="s">
        <v>4549</v>
      </c>
      <c r="AA246" s="213">
        <v>75</v>
      </c>
      <c r="AB246" s="213">
        <v>75</v>
      </c>
      <c r="AC246" s="207" t="s">
        <v>4530</v>
      </c>
      <c r="AD246"/>
      <c r="AE246" s="206"/>
      <c r="AF246" s="94"/>
      <c r="AG246" s="94"/>
      <c r="AH246" s="94"/>
      <c r="AI246" s="94"/>
      <c r="AJ246" s="94"/>
      <c r="AK246" s="94"/>
      <c r="AL246" s="94"/>
      <c r="AM246" s="254"/>
      <c r="AN246" s="254"/>
      <c r="AO246" s="94"/>
      <c r="AP246" s="94"/>
      <c r="AQ246" s="94"/>
      <c r="AR246" s="94"/>
      <c r="AS246" s="207"/>
    </row>
    <row r="247" spans="13:45" ht="12.75">
      <c r="M247" s="104"/>
      <c r="O247" s="206" t="s">
        <v>2506</v>
      </c>
      <c r="P247" s="94" t="s">
        <v>3952</v>
      </c>
      <c r="Q247" s="180">
        <v>163356</v>
      </c>
      <c r="R247" s="258">
        <v>1600</v>
      </c>
      <c r="S247" s="259">
        <v>75</v>
      </c>
      <c r="T247" s="213" t="s">
        <v>5000</v>
      </c>
      <c r="U247" s="213">
        <v>3</v>
      </c>
      <c r="V247" s="213" t="s">
        <v>3439</v>
      </c>
      <c r="W247" s="213" t="s">
        <v>3361</v>
      </c>
      <c r="X247" s="213" t="s">
        <v>3445</v>
      </c>
      <c r="Y247" s="213" t="s">
        <v>4999</v>
      </c>
      <c r="Z247" s="213" t="s">
        <v>4549</v>
      </c>
      <c r="AA247" s="213">
        <v>75</v>
      </c>
      <c r="AB247" s="213">
        <v>75</v>
      </c>
      <c r="AC247" s="207" t="s">
        <v>4530</v>
      </c>
      <c r="AD247"/>
      <c r="AE247" s="206"/>
      <c r="AF247" s="94"/>
      <c r="AG247" s="94"/>
      <c r="AH247" s="94"/>
      <c r="AI247" s="94"/>
      <c r="AJ247" s="94"/>
      <c r="AK247" s="94"/>
      <c r="AL247" s="94"/>
      <c r="AM247" s="254"/>
      <c r="AN247" s="254"/>
      <c r="AO247" s="94"/>
      <c r="AP247" s="94"/>
      <c r="AQ247" s="94"/>
      <c r="AR247" s="94"/>
      <c r="AS247" s="207"/>
    </row>
    <row r="248" spans="13:45" ht="12.75">
      <c r="M248" s="104"/>
      <c r="O248" s="206" t="s">
        <v>2509</v>
      </c>
      <c r="P248" s="94" t="s">
        <v>3955</v>
      </c>
      <c r="Q248" s="180">
        <v>156137</v>
      </c>
      <c r="R248" s="258">
        <v>1600</v>
      </c>
      <c r="S248" s="259">
        <v>75</v>
      </c>
      <c r="T248" s="213" t="s">
        <v>5000</v>
      </c>
      <c r="U248" s="213">
        <v>3</v>
      </c>
      <c r="V248" s="213" t="s">
        <v>3439</v>
      </c>
      <c r="W248" s="213" t="s">
        <v>3361</v>
      </c>
      <c r="X248" s="213" t="s">
        <v>3445</v>
      </c>
      <c r="Y248" s="213" t="s">
        <v>4996</v>
      </c>
      <c r="Z248" s="213" t="s">
        <v>4549</v>
      </c>
      <c r="AA248" s="213">
        <v>75</v>
      </c>
      <c r="AB248" s="213">
        <v>75</v>
      </c>
      <c r="AC248" s="207" t="s">
        <v>4530</v>
      </c>
      <c r="AD248"/>
      <c r="AE248" s="206"/>
      <c r="AF248" s="94"/>
      <c r="AG248" s="94"/>
      <c r="AH248" s="94"/>
      <c r="AI248" s="94"/>
      <c r="AJ248" s="94"/>
      <c r="AK248" s="94"/>
      <c r="AL248" s="94"/>
      <c r="AM248" s="254"/>
      <c r="AN248" s="254"/>
      <c r="AO248" s="94"/>
      <c r="AP248" s="94"/>
      <c r="AQ248" s="94"/>
      <c r="AR248" s="94"/>
      <c r="AS248" s="207"/>
    </row>
    <row r="249" spans="13:45" ht="12.75">
      <c r="M249" s="104"/>
      <c r="O249" s="206" t="s">
        <v>2512</v>
      </c>
      <c r="P249" s="94" t="s">
        <v>3958</v>
      </c>
      <c r="Q249" s="180">
        <v>129069</v>
      </c>
      <c r="R249" s="258">
        <v>1600</v>
      </c>
      <c r="S249" s="259">
        <v>100</v>
      </c>
      <c r="T249" s="213" t="s">
        <v>5000</v>
      </c>
      <c r="U249" s="213">
        <v>3</v>
      </c>
      <c r="V249" s="213" t="s">
        <v>3439</v>
      </c>
      <c r="W249" s="213" t="s">
        <v>3361</v>
      </c>
      <c r="X249" s="213" t="s">
        <v>3441</v>
      </c>
      <c r="Y249" s="213" t="s">
        <v>4995</v>
      </c>
      <c r="Z249" s="213" t="s">
        <v>3470</v>
      </c>
      <c r="AA249" s="213">
        <v>75</v>
      </c>
      <c r="AB249" s="213">
        <v>85</v>
      </c>
      <c r="AC249" s="207" t="s">
        <v>4530</v>
      </c>
      <c r="AD249"/>
      <c r="AE249" s="206"/>
      <c r="AF249" s="94"/>
      <c r="AG249" s="94"/>
      <c r="AH249" s="94"/>
      <c r="AI249" s="94"/>
      <c r="AJ249" s="94"/>
      <c r="AK249" s="94"/>
      <c r="AL249" s="94"/>
      <c r="AM249" s="254"/>
      <c r="AN249" s="254"/>
      <c r="AO249" s="94"/>
      <c r="AP249" s="94"/>
      <c r="AQ249" s="94"/>
      <c r="AR249" s="94"/>
      <c r="AS249" s="207"/>
    </row>
    <row r="250" spans="13:45" ht="12.75">
      <c r="M250" s="104"/>
      <c r="O250" s="206" t="s">
        <v>2515</v>
      </c>
      <c r="P250" s="94" t="s">
        <v>3961</v>
      </c>
      <c r="Q250" s="180">
        <v>141916</v>
      </c>
      <c r="R250" s="258">
        <v>1600</v>
      </c>
      <c r="S250" s="259">
        <v>100</v>
      </c>
      <c r="T250" s="213" t="s">
        <v>5000</v>
      </c>
      <c r="U250" s="213">
        <v>3</v>
      </c>
      <c r="V250" s="213" t="s">
        <v>3439</v>
      </c>
      <c r="W250" s="213" t="s">
        <v>3361</v>
      </c>
      <c r="X250" s="213" t="s">
        <v>3441</v>
      </c>
      <c r="Y250" s="213" t="s">
        <v>4999</v>
      </c>
      <c r="Z250" s="213" t="s">
        <v>3470</v>
      </c>
      <c r="AA250" s="213">
        <v>75</v>
      </c>
      <c r="AB250" s="213">
        <v>85</v>
      </c>
      <c r="AC250" s="207" t="s">
        <v>4530</v>
      </c>
      <c r="AD250"/>
      <c r="AE250" s="206"/>
      <c r="AF250" s="94"/>
      <c r="AG250" s="94"/>
      <c r="AH250" s="94"/>
      <c r="AI250" s="94"/>
      <c r="AJ250" s="94"/>
      <c r="AK250" s="94"/>
      <c r="AL250" s="94"/>
      <c r="AM250" s="254"/>
      <c r="AN250" s="254"/>
      <c r="AO250" s="94"/>
      <c r="AP250" s="94"/>
      <c r="AQ250" s="94"/>
      <c r="AR250" s="94"/>
      <c r="AS250" s="207"/>
    </row>
    <row r="251" spans="13:45" ht="12.75">
      <c r="M251" s="104"/>
      <c r="O251" s="206" t="s">
        <v>2518</v>
      </c>
      <c r="P251" s="94" t="s">
        <v>3964</v>
      </c>
      <c r="Q251" s="180">
        <v>134701</v>
      </c>
      <c r="R251" s="258">
        <v>1600</v>
      </c>
      <c r="S251" s="259">
        <v>100</v>
      </c>
      <c r="T251" s="213" t="s">
        <v>5000</v>
      </c>
      <c r="U251" s="213">
        <v>3</v>
      </c>
      <c r="V251" s="213" t="s">
        <v>3439</v>
      </c>
      <c r="W251" s="213" t="s">
        <v>3361</v>
      </c>
      <c r="X251" s="213" t="s">
        <v>3441</v>
      </c>
      <c r="Y251" s="213" t="s">
        <v>4996</v>
      </c>
      <c r="Z251" s="213" t="s">
        <v>3470</v>
      </c>
      <c r="AA251" s="213">
        <v>75</v>
      </c>
      <c r="AB251" s="213">
        <v>85</v>
      </c>
      <c r="AC251" s="207" t="s">
        <v>4530</v>
      </c>
      <c r="AD251"/>
      <c r="AE251" s="206"/>
      <c r="AF251" s="94"/>
      <c r="AG251" s="94"/>
      <c r="AH251" s="94"/>
      <c r="AI251" s="94"/>
      <c r="AJ251" s="94"/>
      <c r="AK251" s="94"/>
      <c r="AL251" s="94"/>
      <c r="AM251" s="254"/>
      <c r="AN251" s="254"/>
      <c r="AO251" s="94"/>
      <c r="AP251" s="94"/>
      <c r="AQ251" s="94"/>
      <c r="AR251" s="94"/>
      <c r="AS251" s="207"/>
    </row>
    <row r="252" spans="13:45" ht="12.75">
      <c r="M252" s="104"/>
      <c r="O252" s="206" t="s">
        <v>2521</v>
      </c>
      <c r="P252" s="94" t="s">
        <v>3967</v>
      </c>
      <c r="Q252" s="180">
        <v>166125</v>
      </c>
      <c r="R252" s="258">
        <v>1600</v>
      </c>
      <c r="S252" s="259">
        <v>100</v>
      </c>
      <c r="T252" s="213" t="s">
        <v>5000</v>
      </c>
      <c r="U252" s="213">
        <v>3</v>
      </c>
      <c r="V252" s="213" t="s">
        <v>3439</v>
      </c>
      <c r="W252" s="213" t="s">
        <v>3361</v>
      </c>
      <c r="X252" s="213" t="s">
        <v>3445</v>
      </c>
      <c r="Y252" s="213" t="s">
        <v>4999</v>
      </c>
      <c r="Z252" s="213" t="s">
        <v>3470</v>
      </c>
      <c r="AA252" s="213">
        <v>75</v>
      </c>
      <c r="AB252" s="213">
        <v>85</v>
      </c>
      <c r="AC252" s="207" t="s">
        <v>4530</v>
      </c>
      <c r="AD252"/>
      <c r="AE252" s="206"/>
      <c r="AF252" s="94"/>
      <c r="AG252" s="94"/>
      <c r="AH252" s="94"/>
      <c r="AI252" s="94"/>
      <c r="AJ252" s="94"/>
      <c r="AK252" s="94"/>
      <c r="AL252" s="94"/>
      <c r="AM252" s="254"/>
      <c r="AN252" s="254"/>
      <c r="AO252" s="94"/>
      <c r="AP252" s="94"/>
      <c r="AQ252" s="94"/>
      <c r="AR252" s="94"/>
      <c r="AS252" s="207"/>
    </row>
    <row r="253" spans="13:45" ht="12.75">
      <c r="M253" s="104"/>
      <c r="O253" s="206" t="s">
        <v>2524</v>
      </c>
      <c r="P253" s="94" t="s">
        <v>579</v>
      </c>
      <c r="Q253" s="180">
        <v>158909</v>
      </c>
      <c r="R253" s="258">
        <v>1600</v>
      </c>
      <c r="S253" s="259">
        <v>100</v>
      </c>
      <c r="T253" s="213" t="s">
        <v>5000</v>
      </c>
      <c r="U253" s="213">
        <v>3</v>
      </c>
      <c r="V253" s="213" t="s">
        <v>3439</v>
      </c>
      <c r="W253" s="213" t="s">
        <v>3361</v>
      </c>
      <c r="X253" s="213" t="s">
        <v>3445</v>
      </c>
      <c r="Y253" s="213" t="s">
        <v>4996</v>
      </c>
      <c r="Z253" s="213" t="s">
        <v>3470</v>
      </c>
      <c r="AA253" s="213">
        <v>75</v>
      </c>
      <c r="AB253" s="213">
        <v>85</v>
      </c>
      <c r="AC253" s="207" t="s">
        <v>4530</v>
      </c>
      <c r="AD253"/>
      <c r="AE253" s="206"/>
      <c r="AF253" s="94"/>
      <c r="AG253" s="94"/>
      <c r="AH253" s="94"/>
      <c r="AI253" s="94"/>
      <c r="AJ253" s="94"/>
      <c r="AK253" s="94"/>
      <c r="AL253" s="94"/>
      <c r="AM253" s="254"/>
      <c r="AN253" s="254"/>
      <c r="AO253" s="94"/>
      <c r="AP253" s="94"/>
      <c r="AQ253" s="94"/>
      <c r="AR253" s="94"/>
      <c r="AS253" s="207"/>
    </row>
    <row r="254" spans="13:45" ht="12.75">
      <c r="M254" s="104"/>
      <c r="O254" s="206" t="s">
        <v>2527</v>
      </c>
      <c r="P254" s="94" t="s">
        <v>3977</v>
      </c>
      <c r="Q254" s="180">
        <v>133133</v>
      </c>
      <c r="R254" s="258">
        <v>2000</v>
      </c>
      <c r="S254" s="259">
        <v>75</v>
      </c>
      <c r="T254" s="213" t="s">
        <v>5000</v>
      </c>
      <c r="U254" s="213">
        <v>3</v>
      </c>
      <c r="V254" s="213" t="s">
        <v>3439</v>
      </c>
      <c r="W254" s="213" t="s">
        <v>3361</v>
      </c>
      <c r="X254" s="213" t="s">
        <v>3441</v>
      </c>
      <c r="Y254" s="213" t="s">
        <v>4995</v>
      </c>
      <c r="Z254" s="213" t="s">
        <v>4549</v>
      </c>
      <c r="AA254" s="213">
        <v>75</v>
      </c>
      <c r="AB254" s="213">
        <v>75</v>
      </c>
      <c r="AC254" s="207" t="s">
        <v>4530</v>
      </c>
      <c r="AD254"/>
      <c r="AE254" s="206"/>
      <c r="AF254" s="94"/>
      <c r="AG254" s="94"/>
      <c r="AH254" s="94"/>
      <c r="AI254" s="94"/>
      <c r="AJ254" s="94"/>
      <c r="AK254" s="94"/>
      <c r="AL254" s="94"/>
      <c r="AM254" s="254"/>
      <c r="AN254" s="254"/>
      <c r="AO254" s="94"/>
      <c r="AP254" s="94"/>
      <c r="AQ254" s="94"/>
      <c r="AR254" s="94"/>
      <c r="AS254" s="207"/>
    </row>
    <row r="255" spans="13:45" ht="12.75">
      <c r="M255" s="104"/>
      <c r="O255" s="206" t="s">
        <v>2530</v>
      </c>
      <c r="P255" s="94" t="s">
        <v>3980</v>
      </c>
      <c r="Q255" s="180">
        <v>145979</v>
      </c>
      <c r="R255" s="258">
        <v>2000</v>
      </c>
      <c r="S255" s="259">
        <v>75</v>
      </c>
      <c r="T255" s="213" t="s">
        <v>5000</v>
      </c>
      <c r="U255" s="213">
        <v>3</v>
      </c>
      <c r="V255" s="213" t="s">
        <v>3439</v>
      </c>
      <c r="W255" s="213" t="s">
        <v>3361</v>
      </c>
      <c r="X255" s="213" t="s">
        <v>3441</v>
      </c>
      <c r="Y255" s="213" t="s">
        <v>4999</v>
      </c>
      <c r="Z255" s="213" t="s">
        <v>4549</v>
      </c>
      <c r="AA255" s="213">
        <v>75</v>
      </c>
      <c r="AB255" s="213">
        <v>75</v>
      </c>
      <c r="AC255" s="207" t="s">
        <v>4530</v>
      </c>
      <c r="AD255"/>
      <c r="AE255" s="206"/>
      <c r="AF255" s="94"/>
      <c r="AG255" s="94"/>
      <c r="AH255" s="94"/>
      <c r="AI255" s="94"/>
      <c r="AJ255" s="94"/>
      <c r="AK255" s="94"/>
      <c r="AL255" s="94"/>
      <c r="AM255" s="254"/>
      <c r="AN255" s="254"/>
      <c r="AO255" s="94"/>
      <c r="AP255" s="94"/>
      <c r="AQ255" s="94"/>
      <c r="AR255" s="94"/>
      <c r="AS255" s="207"/>
    </row>
    <row r="256" spans="13:45" ht="12.75">
      <c r="M256" s="104"/>
      <c r="O256" s="206" t="s">
        <v>2533</v>
      </c>
      <c r="P256" s="94" t="s">
        <v>3983</v>
      </c>
      <c r="Q256" s="180">
        <v>138764</v>
      </c>
      <c r="R256" s="258">
        <v>2000</v>
      </c>
      <c r="S256" s="259">
        <v>75</v>
      </c>
      <c r="T256" s="213" t="s">
        <v>5000</v>
      </c>
      <c r="U256" s="213">
        <v>3</v>
      </c>
      <c r="V256" s="213" t="s">
        <v>3439</v>
      </c>
      <c r="W256" s="213" t="s">
        <v>3361</v>
      </c>
      <c r="X256" s="213" t="s">
        <v>3441</v>
      </c>
      <c r="Y256" s="213" t="s">
        <v>4996</v>
      </c>
      <c r="Z256" s="213" t="s">
        <v>4549</v>
      </c>
      <c r="AA256" s="213">
        <v>75</v>
      </c>
      <c r="AB256" s="213">
        <v>75</v>
      </c>
      <c r="AC256" s="207" t="s">
        <v>4530</v>
      </c>
      <c r="AD256"/>
      <c r="AE256" s="206"/>
      <c r="AF256" s="94"/>
      <c r="AG256" s="94"/>
      <c r="AH256" s="94"/>
      <c r="AI256" s="94"/>
      <c r="AJ256" s="94"/>
      <c r="AK256" s="94"/>
      <c r="AL256" s="94"/>
      <c r="AM256" s="254"/>
      <c r="AN256" s="254"/>
      <c r="AO256" s="94"/>
      <c r="AP256" s="94"/>
      <c r="AQ256" s="94"/>
      <c r="AR256" s="94"/>
      <c r="AS256" s="207"/>
    </row>
    <row r="257" spans="13:45" ht="12.75">
      <c r="M257" s="104"/>
      <c r="O257" s="206" t="s">
        <v>2536</v>
      </c>
      <c r="P257" s="94" t="s">
        <v>3986</v>
      </c>
      <c r="Q257" s="180">
        <v>170188</v>
      </c>
      <c r="R257" s="258">
        <v>2000</v>
      </c>
      <c r="S257" s="259">
        <v>75</v>
      </c>
      <c r="T257" s="213" t="s">
        <v>5000</v>
      </c>
      <c r="U257" s="213">
        <v>3</v>
      </c>
      <c r="V257" s="213" t="s">
        <v>3439</v>
      </c>
      <c r="W257" s="213" t="s">
        <v>3361</v>
      </c>
      <c r="X257" s="213" t="s">
        <v>3445</v>
      </c>
      <c r="Y257" s="213" t="s">
        <v>4999</v>
      </c>
      <c r="Z257" s="213" t="s">
        <v>4549</v>
      </c>
      <c r="AA257" s="213">
        <v>75</v>
      </c>
      <c r="AB257" s="213">
        <v>75</v>
      </c>
      <c r="AC257" s="207" t="s">
        <v>4530</v>
      </c>
      <c r="AD257"/>
      <c r="AE257" s="206"/>
      <c r="AF257" s="94"/>
      <c r="AG257" s="94"/>
      <c r="AH257" s="94"/>
      <c r="AI257" s="94"/>
      <c r="AJ257" s="94"/>
      <c r="AK257" s="94"/>
      <c r="AL257" s="94"/>
      <c r="AM257" s="254"/>
      <c r="AN257" s="254"/>
      <c r="AO257" s="94"/>
      <c r="AP257" s="94"/>
      <c r="AQ257" s="94"/>
      <c r="AR257" s="94"/>
      <c r="AS257" s="207"/>
    </row>
    <row r="258" spans="13:45" ht="12.75">
      <c r="M258" s="104"/>
      <c r="O258" s="206" t="s">
        <v>2539</v>
      </c>
      <c r="P258" s="94" t="s">
        <v>3989</v>
      </c>
      <c r="Q258" s="180">
        <v>162973</v>
      </c>
      <c r="R258" s="258">
        <v>2000</v>
      </c>
      <c r="S258" s="259">
        <v>75</v>
      </c>
      <c r="T258" s="213" t="s">
        <v>5000</v>
      </c>
      <c r="U258" s="213">
        <v>3</v>
      </c>
      <c r="V258" s="213" t="s">
        <v>3439</v>
      </c>
      <c r="W258" s="213" t="s">
        <v>3361</v>
      </c>
      <c r="X258" s="213" t="s">
        <v>3445</v>
      </c>
      <c r="Y258" s="213" t="s">
        <v>4996</v>
      </c>
      <c r="Z258" s="213" t="s">
        <v>4549</v>
      </c>
      <c r="AA258" s="213">
        <v>75</v>
      </c>
      <c r="AB258" s="213">
        <v>75</v>
      </c>
      <c r="AC258" s="207" t="s">
        <v>4530</v>
      </c>
      <c r="AD258"/>
      <c r="AE258" s="206"/>
      <c r="AF258" s="94"/>
      <c r="AG258" s="94"/>
      <c r="AH258" s="94"/>
      <c r="AI258" s="94"/>
      <c r="AJ258" s="94"/>
      <c r="AK258" s="94"/>
      <c r="AL258" s="94"/>
      <c r="AM258" s="254"/>
      <c r="AN258" s="254"/>
      <c r="AO258" s="94"/>
      <c r="AP258" s="94"/>
      <c r="AQ258" s="94"/>
      <c r="AR258" s="94"/>
      <c r="AS258" s="207"/>
    </row>
    <row r="259" spans="13:45" ht="12.75">
      <c r="M259" s="104"/>
      <c r="O259" s="206" t="s">
        <v>2542</v>
      </c>
      <c r="P259" s="94" t="s">
        <v>3992</v>
      </c>
      <c r="Q259" s="180">
        <v>158947</v>
      </c>
      <c r="R259" s="258">
        <v>2000</v>
      </c>
      <c r="S259" s="259">
        <v>100</v>
      </c>
      <c r="T259" s="213" t="s">
        <v>5000</v>
      </c>
      <c r="U259" s="213">
        <v>3</v>
      </c>
      <c r="V259" s="213" t="s">
        <v>3439</v>
      </c>
      <c r="W259" s="213" t="s">
        <v>3361</v>
      </c>
      <c r="X259" s="213" t="s">
        <v>3441</v>
      </c>
      <c r="Y259" s="213" t="s">
        <v>4995</v>
      </c>
      <c r="Z259" s="213" t="s">
        <v>3470</v>
      </c>
      <c r="AA259" s="213">
        <v>75</v>
      </c>
      <c r="AB259" s="213">
        <v>85</v>
      </c>
      <c r="AC259" s="207" t="s">
        <v>4530</v>
      </c>
      <c r="AD259"/>
      <c r="AE259" s="206"/>
      <c r="AF259" s="94"/>
      <c r="AG259" s="94"/>
      <c r="AH259" s="94"/>
      <c r="AI259" s="94"/>
      <c r="AJ259" s="94"/>
      <c r="AK259" s="94"/>
      <c r="AL259" s="94"/>
      <c r="AM259" s="254"/>
      <c r="AN259" s="254"/>
      <c r="AO259" s="94"/>
      <c r="AP259" s="94"/>
      <c r="AQ259" s="94"/>
      <c r="AR259" s="94"/>
      <c r="AS259" s="207"/>
    </row>
    <row r="260" spans="13:45" ht="12.75">
      <c r="M260" s="104"/>
      <c r="O260" s="206" t="s">
        <v>2545</v>
      </c>
      <c r="P260" s="94" t="s">
        <v>3995</v>
      </c>
      <c r="Q260" s="180">
        <v>171793</v>
      </c>
      <c r="R260" s="258">
        <v>2000</v>
      </c>
      <c r="S260" s="259">
        <v>100</v>
      </c>
      <c r="T260" s="213" t="s">
        <v>5000</v>
      </c>
      <c r="U260" s="213">
        <v>3</v>
      </c>
      <c r="V260" s="213" t="s">
        <v>3439</v>
      </c>
      <c r="W260" s="213" t="s">
        <v>3361</v>
      </c>
      <c r="X260" s="213" t="s">
        <v>3441</v>
      </c>
      <c r="Y260" s="213" t="s">
        <v>4999</v>
      </c>
      <c r="Z260" s="213" t="s">
        <v>3470</v>
      </c>
      <c r="AA260" s="213">
        <v>75</v>
      </c>
      <c r="AB260" s="213">
        <v>85</v>
      </c>
      <c r="AC260" s="207" t="s">
        <v>4530</v>
      </c>
      <c r="AD260"/>
      <c r="AE260" s="206"/>
      <c r="AF260" s="94"/>
      <c r="AG260" s="94"/>
      <c r="AH260" s="94"/>
      <c r="AI260" s="94"/>
      <c r="AJ260" s="94"/>
      <c r="AK260" s="94"/>
      <c r="AL260" s="94"/>
      <c r="AM260" s="254"/>
      <c r="AN260" s="254"/>
      <c r="AO260" s="94"/>
      <c r="AP260" s="94"/>
      <c r="AQ260" s="94"/>
      <c r="AR260" s="94"/>
      <c r="AS260" s="207"/>
    </row>
    <row r="261" spans="13:45" ht="12.75">
      <c r="M261" s="104"/>
      <c r="O261" s="206" t="s">
        <v>2548</v>
      </c>
      <c r="P261" s="94" t="s">
        <v>3116</v>
      </c>
      <c r="Q261" s="180">
        <v>164577</v>
      </c>
      <c r="R261" s="258">
        <v>2000</v>
      </c>
      <c r="S261" s="259">
        <v>100</v>
      </c>
      <c r="T261" s="213" t="s">
        <v>5000</v>
      </c>
      <c r="U261" s="213">
        <v>3</v>
      </c>
      <c r="V261" s="213" t="s">
        <v>3439</v>
      </c>
      <c r="W261" s="213" t="s">
        <v>3361</v>
      </c>
      <c r="X261" s="213" t="s">
        <v>3441</v>
      </c>
      <c r="Y261" s="213" t="s">
        <v>4996</v>
      </c>
      <c r="Z261" s="213" t="s">
        <v>3470</v>
      </c>
      <c r="AA261" s="213">
        <v>75</v>
      </c>
      <c r="AB261" s="213">
        <v>85</v>
      </c>
      <c r="AC261" s="207" t="s">
        <v>4530</v>
      </c>
      <c r="AD261"/>
      <c r="AE261" s="206"/>
      <c r="AF261" s="94"/>
      <c r="AG261" s="94"/>
      <c r="AH261" s="94"/>
      <c r="AI261" s="94"/>
      <c r="AJ261" s="94"/>
      <c r="AK261" s="94"/>
      <c r="AL261" s="94"/>
      <c r="AM261" s="254"/>
      <c r="AN261" s="254"/>
      <c r="AO261" s="94"/>
      <c r="AP261" s="94"/>
      <c r="AQ261" s="94"/>
      <c r="AR261" s="94"/>
      <c r="AS261" s="207"/>
    </row>
    <row r="262" spans="13:45" ht="12.75">
      <c r="M262" s="104"/>
      <c r="O262" s="206" t="s">
        <v>2551</v>
      </c>
      <c r="P262" s="94" t="s">
        <v>3119</v>
      </c>
      <c r="Q262" s="180">
        <v>196002</v>
      </c>
      <c r="R262" s="258">
        <v>2000</v>
      </c>
      <c r="S262" s="259">
        <v>100</v>
      </c>
      <c r="T262" s="213" t="s">
        <v>5000</v>
      </c>
      <c r="U262" s="213">
        <v>3</v>
      </c>
      <c r="V262" s="213" t="s">
        <v>3439</v>
      </c>
      <c r="W262" s="213" t="s">
        <v>3361</v>
      </c>
      <c r="X262" s="213" t="s">
        <v>3445</v>
      </c>
      <c r="Y262" s="213" t="s">
        <v>4999</v>
      </c>
      <c r="Z262" s="213" t="s">
        <v>3470</v>
      </c>
      <c r="AA262" s="213">
        <v>75</v>
      </c>
      <c r="AB262" s="213">
        <v>85</v>
      </c>
      <c r="AC262" s="207" t="s">
        <v>4530</v>
      </c>
      <c r="AD262"/>
      <c r="AE262" s="206"/>
      <c r="AF262" s="94"/>
      <c r="AG262" s="94"/>
      <c r="AH262" s="94"/>
      <c r="AI262" s="94"/>
      <c r="AJ262" s="94"/>
      <c r="AK262" s="94"/>
      <c r="AL262" s="94"/>
      <c r="AM262" s="254"/>
      <c r="AN262" s="254"/>
      <c r="AO262" s="94"/>
      <c r="AP262" s="94"/>
      <c r="AQ262" s="94"/>
      <c r="AR262" s="94"/>
      <c r="AS262" s="207"/>
    </row>
    <row r="263" spans="13:45" ht="12.75">
      <c r="M263" s="104"/>
      <c r="O263" s="206" t="s">
        <v>2554</v>
      </c>
      <c r="P263" s="94" t="s">
        <v>3122</v>
      </c>
      <c r="Q263" s="180">
        <v>188785</v>
      </c>
      <c r="R263" s="258">
        <v>2000</v>
      </c>
      <c r="S263" s="259">
        <v>100</v>
      </c>
      <c r="T263" s="213" t="s">
        <v>5000</v>
      </c>
      <c r="U263" s="213">
        <v>3</v>
      </c>
      <c r="V263" s="213" t="s">
        <v>3439</v>
      </c>
      <c r="W263" s="213" t="s">
        <v>3361</v>
      </c>
      <c r="X263" s="213" t="s">
        <v>3445</v>
      </c>
      <c r="Y263" s="213" t="s">
        <v>4996</v>
      </c>
      <c r="Z263" s="213" t="s">
        <v>3470</v>
      </c>
      <c r="AA263" s="213">
        <v>75</v>
      </c>
      <c r="AB263" s="213">
        <v>85</v>
      </c>
      <c r="AC263" s="207" t="s">
        <v>4530</v>
      </c>
      <c r="AD263"/>
      <c r="AE263" s="206"/>
      <c r="AF263" s="94"/>
      <c r="AG263" s="94"/>
      <c r="AH263" s="94"/>
      <c r="AI263" s="94"/>
      <c r="AJ263" s="94"/>
      <c r="AK263" s="94"/>
      <c r="AL263" s="94"/>
      <c r="AM263" s="254"/>
      <c r="AN263" s="254"/>
      <c r="AO263" s="94"/>
      <c r="AP263" s="94"/>
      <c r="AQ263" s="94"/>
      <c r="AR263" s="94"/>
      <c r="AS263" s="207"/>
    </row>
    <row r="264" spans="13:45" ht="12.75">
      <c r="M264" s="104"/>
      <c r="O264" s="206" t="s">
        <v>2557</v>
      </c>
      <c r="P264" s="94" t="s">
        <v>3126</v>
      </c>
      <c r="Q264" s="180">
        <v>163152</v>
      </c>
      <c r="R264" s="258">
        <v>2000</v>
      </c>
      <c r="S264" s="259" t="s">
        <v>5004</v>
      </c>
      <c r="T264" s="213" t="s">
        <v>5000</v>
      </c>
      <c r="U264" s="213">
        <v>3</v>
      </c>
      <c r="V264" s="213" t="s">
        <v>3439</v>
      </c>
      <c r="W264" s="213" t="s">
        <v>3361</v>
      </c>
      <c r="X264" s="213" t="s">
        <v>3441</v>
      </c>
      <c r="Y264" s="213" t="s">
        <v>4995</v>
      </c>
      <c r="Z264" s="213" t="s">
        <v>3125</v>
      </c>
      <c r="AA264" s="213">
        <v>15</v>
      </c>
      <c r="AB264" s="213">
        <v>130</v>
      </c>
      <c r="AC264" s="207" t="s">
        <v>3651</v>
      </c>
      <c r="AD264"/>
      <c r="AE264" s="206"/>
      <c r="AF264" s="94"/>
      <c r="AG264" s="94"/>
      <c r="AH264" s="94"/>
      <c r="AI264" s="94"/>
      <c r="AJ264" s="94"/>
      <c r="AK264" s="94"/>
      <c r="AL264" s="94"/>
      <c r="AM264" s="254"/>
      <c r="AN264" s="254"/>
      <c r="AO264" s="94"/>
      <c r="AP264" s="94"/>
      <c r="AQ264" s="94"/>
      <c r="AR264" s="94"/>
      <c r="AS264" s="207"/>
    </row>
    <row r="265" spans="13:45" ht="12.75">
      <c r="M265" s="104"/>
      <c r="O265" s="206" t="s">
        <v>2560</v>
      </c>
      <c r="P265" s="94" t="s">
        <v>3129</v>
      </c>
      <c r="Q265" s="180">
        <v>175999</v>
      </c>
      <c r="R265" s="258">
        <v>2000</v>
      </c>
      <c r="S265" s="259" t="s">
        <v>5004</v>
      </c>
      <c r="T265" s="213" t="s">
        <v>5000</v>
      </c>
      <c r="U265" s="213">
        <v>3</v>
      </c>
      <c r="V265" s="213" t="s">
        <v>3439</v>
      </c>
      <c r="W265" s="213" t="s">
        <v>3361</v>
      </c>
      <c r="X265" s="213" t="s">
        <v>3441</v>
      </c>
      <c r="Y265" s="213" t="s">
        <v>4999</v>
      </c>
      <c r="Z265" s="213" t="s">
        <v>3125</v>
      </c>
      <c r="AA265" s="213">
        <v>15</v>
      </c>
      <c r="AB265" s="213">
        <v>130</v>
      </c>
      <c r="AC265" s="207" t="s">
        <v>3651</v>
      </c>
      <c r="AD265"/>
      <c r="AE265" s="206"/>
      <c r="AF265" s="94"/>
      <c r="AG265" s="94"/>
      <c r="AH265" s="94"/>
      <c r="AI265" s="94"/>
      <c r="AJ265" s="94"/>
      <c r="AK265" s="94"/>
      <c r="AL265" s="94"/>
      <c r="AM265" s="254"/>
      <c r="AN265" s="254"/>
      <c r="AO265" s="94"/>
      <c r="AP265" s="94"/>
      <c r="AQ265" s="94"/>
      <c r="AR265" s="94"/>
      <c r="AS265" s="207"/>
    </row>
    <row r="266" spans="13:45" ht="12.75">
      <c r="M266" s="104"/>
      <c r="O266" s="206" t="s">
        <v>2563</v>
      </c>
      <c r="P266" s="94" t="s">
        <v>3132</v>
      </c>
      <c r="Q266" s="180">
        <v>168781</v>
      </c>
      <c r="R266" s="258">
        <v>2000</v>
      </c>
      <c r="S266" s="259" t="s">
        <v>5004</v>
      </c>
      <c r="T266" s="213" t="s">
        <v>5000</v>
      </c>
      <c r="U266" s="213">
        <v>3</v>
      </c>
      <c r="V266" s="213" t="s">
        <v>3439</v>
      </c>
      <c r="W266" s="213" t="s">
        <v>3361</v>
      </c>
      <c r="X266" s="213" t="s">
        <v>3441</v>
      </c>
      <c r="Y266" s="213" t="s">
        <v>4996</v>
      </c>
      <c r="Z266" s="213" t="s">
        <v>3125</v>
      </c>
      <c r="AA266" s="213">
        <v>15</v>
      </c>
      <c r="AB266" s="213">
        <v>130</v>
      </c>
      <c r="AC266" s="207" t="s">
        <v>3651</v>
      </c>
      <c r="AD266"/>
      <c r="AE266" s="206"/>
      <c r="AF266" s="94"/>
      <c r="AG266" s="94"/>
      <c r="AH266" s="94"/>
      <c r="AI266" s="94"/>
      <c r="AJ266" s="94"/>
      <c r="AK266" s="94"/>
      <c r="AL266" s="94"/>
      <c r="AM266" s="254"/>
      <c r="AN266" s="254"/>
      <c r="AO266" s="94"/>
      <c r="AP266" s="94"/>
      <c r="AQ266" s="94"/>
      <c r="AR266" s="94"/>
      <c r="AS266" s="207"/>
    </row>
    <row r="267" spans="13:45" ht="12.75">
      <c r="M267" s="104"/>
      <c r="O267" s="206" t="s">
        <v>2566</v>
      </c>
      <c r="P267" s="94" t="s">
        <v>3135</v>
      </c>
      <c r="Q267" s="180">
        <v>200208</v>
      </c>
      <c r="R267" s="258">
        <v>2000</v>
      </c>
      <c r="S267" s="259" t="s">
        <v>5004</v>
      </c>
      <c r="T267" s="213" t="s">
        <v>5000</v>
      </c>
      <c r="U267" s="213">
        <v>3</v>
      </c>
      <c r="V267" s="213" t="s">
        <v>3439</v>
      </c>
      <c r="W267" s="213" t="s">
        <v>3361</v>
      </c>
      <c r="X267" s="213" t="s">
        <v>3445</v>
      </c>
      <c r="Y267" s="213" t="s">
        <v>4999</v>
      </c>
      <c r="Z267" s="213" t="s">
        <v>3125</v>
      </c>
      <c r="AA267" s="213">
        <v>15</v>
      </c>
      <c r="AB267" s="213">
        <v>130</v>
      </c>
      <c r="AC267" s="207" t="s">
        <v>3651</v>
      </c>
      <c r="AD267"/>
      <c r="AE267" s="206"/>
      <c r="AF267" s="94"/>
      <c r="AG267" s="94"/>
      <c r="AH267" s="94"/>
      <c r="AI267" s="94"/>
      <c r="AJ267" s="94"/>
      <c r="AK267" s="94"/>
      <c r="AL267" s="94"/>
      <c r="AM267" s="254"/>
      <c r="AN267" s="254"/>
      <c r="AO267" s="94"/>
      <c r="AP267" s="94"/>
      <c r="AQ267" s="94"/>
      <c r="AR267" s="94"/>
      <c r="AS267" s="207"/>
    </row>
    <row r="268" spans="13:45" ht="12.75">
      <c r="M268" s="104"/>
      <c r="O268" s="206" t="s">
        <v>2569</v>
      </c>
      <c r="P268" s="94" t="s">
        <v>3138</v>
      </c>
      <c r="Q268" s="180">
        <v>192990</v>
      </c>
      <c r="R268" s="258">
        <v>2000</v>
      </c>
      <c r="S268" s="259" t="s">
        <v>5004</v>
      </c>
      <c r="T268" s="213" t="s">
        <v>5000</v>
      </c>
      <c r="U268" s="213">
        <v>3</v>
      </c>
      <c r="V268" s="213" t="s">
        <v>3439</v>
      </c>
      <c r="W268" s="213" t="s">
        <v>3361</v>
      </c>
      <c r="X268" s="213" t="s">
        <v>3445</v>
      </c>
      <c r="Y268" s="213" t="s">
        <v>4996</v>
      </c>
      <c r="Z268" s="213" t="s">
        <v>3125</v>
      </c>
      <c r="AA268" s="213">
        <v>15</v>
      </c>
      <c r="AB268" s="213">
        <v>130</v>
      </c>
      <c r="AC268" s="207" t="s">
        <v>3651</v>
      </c>
      <c r="AD268"/>
      <c r="AE268" s="206"/>
      <c r="AF268" s="94"/>
      <c r="AG268" s="94"/>
      <c r="AH268" s="94"/>
      <c r="AI268" s="94"/>
      <c r="AJ268" s="94"/>
      <c r="AK268" s="94"/>
      <c r="AL268" s="94"/>
      <c r="AM268" s="254"/>
      <c r="AN268" s="254"/>
      <c r="AO268" s="94"/>
      <c r="AP268" s="94"/>
      <c r="AQ268" s="94"/>
      <c r="AR268" s="94"/>
      <c r="AS268" s="207"/>
    </row>
    <row r="269" spans="13:45" ht="12.75">
      <c r="M269" s="104"/>
      <c r="O269" s="206" t="s">
        <v>2572</v>
      </c>
      <c r="P269" s="94" t="s">
        <v>3357</v>
      </c>
      <c r="Q269" s="180">
        <v>145305</v>
      </c>
      <c r="R269" s="258">
        <v>2500</v>
      </c>
      <c r="S269" s="259">
        <v>65</v>
      </c>
      <c r="T269" s="213" t="s">
        <v>5000</v>
      </c>
      <c r="U269" s="213">
        <v>3</v>
      </c>
      <c r="V269" s="213" t="s">
        <v>3439</v>
      </c>
      <c r="W269" s="213" t="s">
        <v>3361</v>
      </c>
      <c r="X269" s="213" t="s">
        <v>3441</v>
      </c>
      <c r="Y269" s="213" t="s">
        <v>4995</v>
      </c>
      <c r="Z269" s="213" t="s">
        <v>3356</v>
      </c>
      <c r="AA269" s="213">
        <v>65</v>
      </c>
      <c r="AB269" s="213">
        <v>65</v>
      </c>
      <c r="AC269" s="207" t="s">
        <v>4530</v>
      </c>
      <c r="AD269"/>
      <c r="AE269" s="206"/>
      <c r="AF269" s="94"/>
      <c r="AG269" s="94"/>
      <c r="AH269" s="94"/>
      <c r="AI269" s="94"/>
      <c r="AJ269" s="94"/>
      <c r="AK269" s="94"/>
      <c r="AL269" s="94"/>
      <c r="AM269" s="254"/>
      <c r="AN269" s="254"/>
      <c r="AO269" s="94"/>
      <c r="AP269" s="94"/>
      <c r="AQ269" s="94"/>
      <c r="AR269" s="94"/>
      <c r="AS269" s="207"/>
    </row>
    <row r="270" spans="13:45" ht="12.75">
      <c r="M270" s="104"/>
      <c r="O270" s="206" t="s">
        <v>2575</v>
      </c>
      <c r="P270" s="94" t="s">
        <v>2103</v>
      </c>
      <c r="Q270" s="180">
        <v>158152</v>
      </c>
      <c r="R270" s="258">
        <v>2500</v>
      </c>
      <c r="S270" s="259">
        <v>65</v>
      </c>
      <c r="T270" s="213" t="s">
        <v>5000</v>
      </c>
      <c r="U270" s="213">
        <v>3</v>
      </c>
      <c r="V270" s="213" t="s">
        <v>3439</v>
      </c>
      <c r="W270" s="213" t="s">
        <v>3361</v>
      </c>
      <c r="X270" s="213" t="s">
        <v>3441</v>
      </c>
      <c r="Y270" s="213" t="s">
        <v>4999</v>
      </c>
      <c r="Z270" s="213" t="s">
        <v>3356</v>
      </c>
      <c r="AA270" s="213">
        <v>65</v>
      </c>
      <c r="AB270" s="213">
        <v>65</v>
      </c>
      <c r="AC270" s="207" t="s">
        <v>4530</v>
      </c>
      <c r="AD270"/>
      <c r="AE270" s="206"/>
      <c r="AF270" s="94"/>
      <c r="AG270" s="94"/>
      <c r="AH270" s="94"/>
      <c r="AI270" s="94"/>
      <c r="AJ270" s="94"/>
      <c r="AK270" s="94"/>
      <c r="AL270" s="94"/>
      <c r="AM270" s="254"/>
      <c r="AN270" s="254"/>
      <c r="AO270" s="94"/>
      <c r="AP270" s="94"/>
      <c r="AQ270" s="94"/>
      <c r="AR270" s="94"/>
      <c r="AS270" s="207"/>
    </row>
    <row r="271" spans="13:45" ht="12.75">
      <c r="M271" s="104"/>
      <c r="O271" s="206" t="s">
        <v>2578</v>
      </c>
      <c r="P271" s="94" t="s">
        <v>2106</v>
      </c>
      <c r="Q271" s="180">
        <v>150936</v>
      </c>
      <c r="R271" s="258">
        <v>2500</v>
      </c>
      <c r="S271" s="259">
        <v>65</v>
      </c>
      <c r="T271" s="213" t="s">
        <v>5000</v>
      </c>
      <c r="U271" s="213">
        <v>3</v>
      </c>
      <c r="V271" s="213" t="s">
        <v>3439</v>
      </c>
      <c r="W271" s="213" t="s">
        <v>3361</v>
      </c>
      <c r="X271" s="213" t="s">
        <v>3441</v>
      </c>
      <c r="Y271" s="213" t="s">
        <v>4996</v>
      </c>
      <c r="Z271" s="213" t="s">
        <v>3356</v>
      </c>
      <c r="AA271" s="213">
        <v>65</v>
      </c>
      <c r="AB271" s="213">
        <v>65</v>
      </c>
      <c r="AC271" s="207" t="s">
        <v>4530</v>
      </c>
      <c r="AD271"/>
      <c r="AE271" s="206"/>
      <c r="AF271" s="94"/>
      <c r="AG271" s="94"/>
      <c r="AH271" s="94"/>
      <c r="AI271" s="94"/>
      <c r="AJ271" s="94"/>
      <c r="AK271" s="94"/>
      <c r="AL271" s="94"/>
      <c r="AM271" s="254"/>
      <c r="AN271" s="254"/>
      <c r="AO271" s="94"/>
      <c r="AP271" s="94"/>
      <c r="AQ271" s="94"/>
      <c r="AR271" s="94"/>
      <c r="AS271" s="207"/>
    </row>
    <row r="272" spans="13:45" ht="12.75">
      <c r="M272" s="104"/>
      <c r="O272" s="206" t="s">
        <v>2797</v>
      </c>
      <c r="P272" s="94" t="s">
        <v>2109</v>
      </c>
      <c r="Q272" s="180">
        <v>182362</v>
      </c>
      <c r="R272" s="258">
        <v>2500</v>
      </c>
      <c r="S272" s="259">
        <v>65</v>
      </c>
      <c r="T272" s="213" t="s">
        <v>5000</v>
      </c>
      <c r="U272" s="213">
        <v>3</v>
      </c>
      <c r="V272" s="213" t="s">
        <v>3439</v>
      </c>
      <c r="W272" s="213" t="s">
        <v>3361</v>
      </c>
      <c r="X272" s="213" t="s">
        <v>3445</v>
      </c>
      <c r="Y272" s="213" t="s">
        <v>4999</v>
      </c>
      <c r="Z272" s="213" t="s">
        <v>3356</v>
      </c>
      <c r="AA272" s="213">
        <v>65</v>
      </c>
      <c r="AB272" s="213">
        <v>65</v>
      </c>
      <c r="AC272" s="207" t="s">
        <v>4530</v>
      </c>
      <c r="AD272"/>
      <c r="AE272" s="206"/>
      <c r="AF272" s="94"/>
      <c r="AG272" s="94"/>
      <c r="AH272" s="94"/>
      <c r="AI272" s="94"/>
      <c r="AJ272" s="94"/>
      <c r="AK272" s="94"/>
      <c r="AL272" s="94"/>
      <c r="AM272" s="254"/>
      <c r="AN272" s="254"/>
      <c r="AO272" s="94"/>
      <c r="AP272" s="94"/>
      <c r="AQ272" s="94"/>
      <c r="AR272" s="94"/>
      <c r="AS272" s="207"/>
    </row>
    <row r="273" spans="13:45" ht="12.75">
      <c r="M273" s="104"/>
      <c r="O273" s="206" t="s">
        <v>2800</v>
      </c>
      <c r="P273" s="94" t="s">
        <v>2112</v>
      </c>
      <c r="Q273" s="180">
        <v>175145</v>
      </c>
      <c r="R273" s="258">
        <v>2500</v>
      </c>
      <c r="S273" s="259">
        <v>65</v>
      </c>
      <c r="T273" s="213" t="s">
        <v>5000</v>
      </c>
      <c r="U273" s="213">
        <v>3</v>
      </c>
      <c r="V273" s="213" t="s">
        <v>3439</v>
      </c>
      <c r="W273" s="213" t="s">
        <v>3361</v>
      </c>
      <c r="X273" s="213" t="s">
        <v>3445</v>
      </c>
      <c r="Y273" s="213" t="s">
        <v>4996</v>
      </c>
      <c r="Z273" s="213" t="s">
        <v>3356</v>
      </c>
      <c r="AA273" s="213">
        <v>65</v>
      </c>
      <c r="AB273" s="213">
        <v>65</v>
      </c>
      <c r="AC273" s="207" t="s">
        <v>4530</v>
      </c>
      <c r="AD273"/>
      <c r="AE273" s="206"/>
      <c r="AF273" s="94"/>
      <c r="AG273" s="94"/>
      <c r="AH273" s="94"/>
      <c r="AI273" s="94"/>
      <c r="AJ273" s="94"/>
      <c r="AK273" s="94"/>
      <c r="AL273" s="94"/>
      <c r="AM273" s="254"/>
      <c r="AN273" s="254"/>
      <c r="AO273" s="94"/>
      <c r="AP273" s="94"/>
      <c r="AQ273" s="94"/>
      <c r="AR273" s="94"/>
      <c r="AS273" s="207"/>
    </row>
    <row r="274" spans="13:45" ht="12.75">
      <c r="M274" s="104"/>
      <c r="O274" s="206" t="s">
        <v>3150</v>
      </c>
      <c r="P274" s="94" t="s">
        <v>576</v>
      </c>
      <c r="Q274" s="180">
        <v>171913</v>
      </c>
      <c r="R274" s="258">
        <v>2500</v>
      </c>
      <c r="S274" s="259">
        <v>75</v>
      </c>
      <c r="T274" s="213" t="s">
        <v>5000</v>
      </c>
      <c r="U274" s="213">
        <v>3</v>
      </c>
      <c r="V274" s="213" t="s">
        <v>3439</v>
      </c>
      <c r="W274" s="213" t="s">
        <v>3361</v>
      </c>
      <c r="X274" s="213" t="s">
        <v>3441</v>
      </c>
      <c r="Y274" s="213" t="s">
        <v>4995</v>
      </c>
      <c r="Z274" s="213" t="s">
        <v>4549</v>
      </c>
      <c r="AA274" s="213">
        <v>75</v>
      </c>
      <c r="AB274" s="213">
        <v>75</v>
      </c>
      <c r="AC274" s="207" t="s">
        <v>4530</v>
      </c>
      <c r="AD274"/>
      <c r="AE274" s="206"/>
      <c r="AF274" s="94"/>
      <c r="AG274" s="94"/>
      <c r="AH274" s="94"/>
      <c r="AI274" s="94"/>
      <c r="AJ274" s="94"/>
      <c r="AK274" s="94"/>
      <c r="AL274" s="94"/>
      <c r="AM274" s="254"/>
      <c r="AN274" s="254"/>
      <c r="AO274" s="94"/>
      <c r="AP274" s="94"/>
      <c r="AQ274" s="94"/>
      <c r="AR274" s="94"/>
      <c r="AS274" s="207"/>
    </row>
    <row r="275" spans="13:45" ht="12.75">
      <c r="M275" s="104"/>
      <c r="O275" s="206" t="s">
        <v>3153</v>
      </c>
      <c r="P275" s="94" t="s">
        <v>4118</v>
      </c>
      <c r="Q275" s="180">
        <v>184761</v>
      </c>
      <c r="R275" s="258">
        <v>2500</v>
      </c>
      <c r="S275" s="259">
        <v>75</v>
      </c>
      <c r="T275" s="213" t="s">
        <v>5000</v>
      </c>
      <c r="U275" s="213">
        <v>3</v>
      </c>
      <c r="V275" s="213" t="s">
        <v>3439</v>
      </c>
      <c r="W275" s="213" t="s">
        <v>3361</v>
      </c>
      <c r="X275" s="213" t="s">
        <v>3441</v>
      </c>
      <c r="Y275" s="213" t="s">
        <v>4999</v>
      </c>
      <c r="Z275" s="213" t="s">
        <v>4549</v>
      </c>
      <c r="AA275" s="213">
        <v>75</v>
      </c>
      <c r="AB275" s="213">
        <v>75</v>
      </c>
      <c r="AC275" s="207" t="s">
        <v>4530</v>
      </c>
      <c r="AD275"/>
      <c r="AE275" s="206"/>
      <c r="AF275" s="94"/>
      <c r="AG275" s="94"/>
      <c r="AH275" s="94"/>
      <c r="AI275" s="94"/>
      <c r="AJ275" s="94"/>
      <c r="AK275" s="94"/>
      <c r="AL275" s="94"/>
      <c r="AM275" s="254"/>
      <c r="AN275" s="254"/>
      <c r="AO275" s="94"/>
      <c r="AP275" s="94"/>
      <c r="AQ275" s="94"/>
      <c r="AR275" s="94"/>
      <c r="AS275" s="207"/>
    </row>
    <row r="276" spans="13:45" ht="12.75">
      <c r="M276" s="104"/>
      <c r="O276" s="206" t="s">
        <v>3156</v>
      </c>
      <c r="P276" s="94" t="s">
        <v>3937</v>
      </c>
      <c r="Q276" s="180">
        <v>177545</v>
      </c>
      <c r="R276" s="258">
        <v>2500</v>
      </c>
      <c r="S276" s="259">
        <v>75</v>
      </c>
      <c r="T276" s="213" t="s">
        <v>5000</v>
      </c>
      <c r="U276" s="213">
        <v>3</v>
      </c>
      <c r="V276" s="213" t="s">
        <v>3439</v>
      </c>
      <c r="W276" s="213" t="s">
        <v>3361</v>
      </c>
      <c r="X276" s="213" t="s">
        <v>3441</v>
      </c>
      <c r="Y276" s="213" t="s">
        <v>4996</v>
      </c>
      <c r="Z276" s="213" t="s">
        <v>4549</v>
      </c>
      <c r="AA276" s="213">
        <v>75</v>
      </c>
      <c r="AB276" s="213">
        <v>75</v>
      </c>
      <c r="AC276" s="207" t="s">
        <v>4530</v>
      </c>
      <c r="AD276"/>
      <c r="AE276" s="206"/>
      <c r="AF276" s="94"/>
      <c r="AG276" s="94"/>
      <c r="AH276" s="94"/>
      <c r="AI276" s="94"/>
      <c r="AJ276" s="94"/>
      <c r="AK276" s="94"/>
      <c r="AL276" s="94"/>
      <c r="AM276" s="254"/>
      <c r="AN276" s="254"/>
      <c r="AO276" s="94"/>
      <c r="AP276" s="94"/>
      <c r="AQ276" s="94"/>
      <c r="AR276" s="94"/>
      <c r="AS276" s="207"/>
    </row>
    <row r="277" spans="13:45" ht="12.75">
      <c r="M277" s="104"/>
      <c r="O277" s="206" t="s">
        <v>3159</v>
      </c>
      <c r="P277" s="94" t="s">
        <v>3940</v>
      </c>
      <c r="Q277" s="180">
        <v>208970</v>
      </c>
      <c r="R277" s="258">
        <v>2500</v>
      </c>
      <c r="S277" s="259">
        <v>75</v>
      </c>
      <c r="T277" s="213" t="s">
        <v>5000</v>
      </c>
      <c r="U277" s="213">
        <v>3</v>
      </c>
      <c r="V277" s="213" t="s">
        <v>3439</v>
      </c>
      <c r="W277" s="213" t="s">
        <v>3361</v>
      </c>
      <c r="X277" s="213" t="s">
        <v>3445</v>
      </c>
      <c r="Y277" s="213" t="s">
        <v>4999</v>
      </c>
      <c r="Z277" s="213" t="s">
        <v>4549</v>
      </c>
      <c r="AA277" s="213">
        <v>75</v>
      </c>
      <c r="AB277" s="213">
        <v>75</v>
      </c>
      <c r="AC277" s="207" t="s">
        <v>4530</v>
      </c>
      <c r="AD277"/>
      <c r="AE277" s="206"/>
      <c r="AF277" s="94"/>
      <c r="AG277" s="94"/>
      <c r="AH277" s="94"/>
      <c r="AI277" s="94"/>
      <c r="AJ277" s="94"/>
      <c r="AK277" s="94"/>
      <c r="AL277" s="94"/>
      <c r="AM277" s="254"/>
      <c r="AN277" s="254"/>
      <c r="AO277" s="94"/>
      <c r="AP277" s="94"/>
      <c r="AQ277" s="94"/>
      <c r="AR277" s="94"/>
      <c r="AS277" s="207"/>
    </row>
    <row r="278" spans="13:45" ht="12.75">
      <c r="M278" s="104"/>
      <c r="O278" s="206" t="s">
        <v>3162</v>
      </c>
      <c r="P278" s="94" t="s">
        <v>3943</v>
      </c>
      <c r="Q278" s="180">
        <v>201753</v>
      </c>
      <c r="R278" s="258">
        <v>2500</v>
      </c>
      <c r="S278" s="259">
        <v>75</v>
      </c>
      <c r="T278" s="213" t="s">
        <v>5000</v>
      </c>
      <c r="U278" s="213">
        <v>3</v>
      </c>
      <c r="V278" s="213" t="s">
        <v>3439</v>
      </c>
      <c r="W278" s="213" t="s">
        <v>3361</v>
      </c>
      <c r="X278" s="213" t="s">
        <v>3445</v>
      </c>
      <c r="Y278" s="213" t="s">
        <v>4996</v>
      </c>
      <c r="Z278" s="213" t="s">
        <v>4549</v>
      </c>
      <c r="AA278" s="213">
        <v>75</v>
      </c>
      <c r="AB278" s="213">
        <v>75</v>
      </c>
      <c r="AC278" s="207" t="s">
        <v>4530</v>
      </c>
      <c r="AD278"/>
      <c r="AE278" s="206"/>
      <c r="AF278" s="94"/>
      <c r="AG278" s="94"/>
      <c r="AH278" s="94"/>
      <c r="AI278" s="94"/>
      <c r="AJ278" s="94"/>
      <c r="AK278" s="94"/>
      <c r="AL278" s="94"/>
      <c r="AM278" s="254"/>
      <c r="AN278" s="254"/>
      <c r="AO278" s="94"/>
      <c r="AP278" s="94"/>
      <c r="AQ278" s="94"/>
      <c r="AR278" s="94"/>
      <c r="AS278" s="207"/>
    </row>
    <row r="279" spans="13:45" ht="12.75">
      <c r="M279" s="104"/>
      <c r="O279" s="206" t="s">
        <v>3165</v>
      </c>
      <c r="P279" s="94" t="s">
        <v>1660</v>
      </c>
      <c r="Q279" s="180">
        <v>200159</v>
      </c>
      <c r="R279" s="258">
        <v>2500</v>
      </c>
      <c r="S279" s="259">
        <v>100</v>
      </c>
      <c r="T279" s="213" t="s">
        <v>5000</v>
      </c>
      <c r="U279" s="213">
        <v>3</v>
      </c>
      <c r="V279" s="213" t="s">
        <v>3439</v>
      </c>
      <c r="W279" s="213" t="s">
        <v>3361</v>
      </c>
      <c r="X279" s="213" t="s">
        <v>3441</v>
      </c>
      <c r="Y279" s="213" t="s">
        <v>4995</v>
      </c>
      <c r="Z279" s="213" t="s">
        <v>3470</v>
      </c>
      <c r="AA279" s="213">
        <v>75</v>
      </c>
      <c r="AB279" s="213">
        <v>85</v>
      </c>
      <c r="AC279" s="207" t="s">
        <v>4530</v>
      </c>
      <c r="AD279"/>
      <c r="AE279" s="206"/>
      <c r="AF279" s="94"/>
      <c r="AG279" s="94"/>
      <c r="AH279" s="94"/>
      <c r="AI279" s="94"/>
      <c r="AJ279" s="94"/>
      <c r="AK279" s="94"/>
      <c r="AL279" s="94"/>
      <c r="AM279" s="254"/>
      <c r="AN279" s="254"/>
      <c r="AO279" s="94"/>
      <c r="AP279" s="94"/>
      <c r="AQ279" s="94"/>
      <c r="AR279" s="94"/>
      <c r="AS279" s="207"/>
    </row>
    <row r="280" spans="13:45" ht="12.75">
      <c r="M280" s="104"/>
      <c r="O280" s="206" t="s">
        <v>3168</v>
      </c>
      <c r="P280" s="94" t="s">
        <v>1663</v>
      </c>
      <c r="Q280" s="180">
        <v>213008</v>
      </c>
      <c r="R280" s="258">
        <v>2500</v>
      </c>
      <c r="S280" s="259">
        <v>100</v>
      </c>
      <c r="T280" s="213" t="s">
        <v>5000</v>
      </c>
      <c r="U280" s="213">
        <v>3</v>
      </c>
      <c r="V280" s="213" t="s">
        <v>3439</v>
      </c>
      <c r="W280" s="213" t="s">
        <v>3361</v>
      </c>
      <c r="X280" s="213" t="s">
        <v>3441</v>
      </c>
      <c r="Y280" s="213" t="s">
        <v>4999</v>
      </c>
      <c r="Z280" s="213" t="s">
        <v>3470</v>
      </c>
      <c r="AA280" s="213">
        <v>75</v>
      </c>
      <c r="AB280" s="213">
        <v>85</v>
      </c>
      <c r="AC280" s="207" t="s">
        <v>4530</v>
      </c>
      <c r="AD280"/>
      <c r="AE280" s="206"/>
      <c r="AF280" s="94"/>
      <c r="AG280" s="94"/>
      <c r="AH280" s="94"/>
      <c r="AI280" s="94"/>
      <c r="AJ280" s="94"/>
      <c r="AK280" s="94"/>
      <c r="AL280" s="94"/>
      <c r="AM280" s="254"/>
      <c r="AN280" s="254"/>
      <c r="AO280" s="94"/>
      <c r="AP280" s="94"/>
      <c r="AQ280" s="94"/>
      <c r="AR280" s="94"/>
      <c r="AS280" s="207"/>
    </row>
    <row r="281" spans="13:45" ht="12.75">
      <c r="M281" s="104"/>
      <c r="O281" s="206" t="s">
        <v>1323</v>
      </c>
      <c r="P281" s="94" t="s">
        <v>2433</v>
      </c>
      <c r="Q281" s="180">
        <v>205790</v>
      </c>
      <c r="R281" s="258">
        <v>2500</v>
      </c>
      <c r="S281" s="259">
        <v>100</v>
      </c>
      <c r="T281" s="213" t="s">
        <v>5000</v>
      </c>
      <c r="U281" s="213">
        <v>3</v>
      </c>
      <c r="V281" s="213" t="s">
        <v>3439</v>
      </c>
      <c r="W281" s="213" t="s">
        <v>3361</v>
      </c>
      <c r="X281" s="213" t="s">
        <v>3441</v>
      </c>
      <c r="Y281" s="213" t="s">
        <v>4996</v>
      </c>
      <c r="Z281" s="213" t="s">
        <v>3470</v>
      </c>
      <c r="AA281" s="213">
        <v>75</v>
      </c>
      <c r="AB281" s="213">
        <v>85</v>
      </c>
      <c r="AC281" s="207" t="s">
        <v>4530</v>
      </c>
      <c r="AD281"/>
      <c r="AE281" s="206"/>
      <c r="AF281" s="94"/>
      <c r="AG281" s="94"/>
      <c r="AH281" s="94"/>
      <c r="AI281" s="94"/>
      <c r="AJ281" s="94"/>
      <c r="AK281" s="94"/>
      <c r="AL281" s="94"/>
      <c r="AM281" s="254"/>
      <c r="AN281" s="254"/>
      <c r="AO281" s="94"/>
      <c r="AP281" s="94"/>
      <c r="AQ281" s="94"/>
      <c r="AR281" s="94"/>
      <c r="AS281" s="207"/>
    </row>
    <row r="282" spans="13:45" ht="12.75">
      <c r="M282" s="104"/>
      <c r="O282" s="206" t="s">
        <v>1591</v>
      </c>
      <c r="P282" s="94" t="s">
        <v>2436</v>
      </c>
      <c r="Q282" s="180">
        <v>237216</v>
      </c>
      <c r="R282" s="258">
        <v>2500</v>
      </c>
      <c r="S282" s="259">
        <v>100</v>
      </c>
      <c r="T282" s="213" t="s">
        <v>5000</v>
      </c>
      <c r="U282" s="213">
        <v>3</v>
      </c>
      <c r="V282" s="213" t="s">
        <v>3439</v>
      </c>
      <c r="W282" s="213" t="s">
        <v>3361</v>
      </c>
      <c r="X282" s="213" t="s">
        <v>3445</v>
      </c>
      <c r="Y282" s="213" t="s">
        <v>4999</v>
      </c>
      <c r="Z282" s="213" t="s">
        <v>3470</v>
      </c>
      <c r="AA282" s="213">
        <v>75</v>
      </c>
      <c r="AB282" s="213">
        <v>85</v>
      </c>
      <c r="AC282" s="207" t="s">
        <v>4530</v>
      </c>
      <c r="AD282"/>
      <c r="AE282" s="206"/>
      <c r="AF282" s="94"/>
      <c r="AG282" s="94"/>
      <c r="AH282" s="94"/>
      <c r="AI282" s="94"/>
      <c r="AJ282" s="94"/>
      <c r="AK282" s="94"/>
      <c r="AL282" s="94"/>
      <c r="AM282" s="254"/>
      <c r="AN282" s="254"/>
      <c r="AO282" s="94"/>
      <c r="AP282" s="94"/>
      <c r="AQ282" s="94"/>
      <c r="AR282" s="94"/>
      <c r="AS282" s="207"/>
    </row>
    <row r="283" spans="13:45" ht="12.75">
      <c r="M283" s="104"/>
      <c r="O283" s="206" t="s">
        <v>1594</v>
      </c>
      <c r="P283" s="94" t="s">
        <v>2439</v>
      </c>
      <c r="Q283" s="180">
        <v>229999</v>
      </c>
      <c r="R283" s="258">
        <v>2500</v>
      </c>
      <c r="S283" s="259">
        <v>100</v>
      </c>
      <c r="T283" s="213" t="s">
        <v>5000</v>
      </c>
      <c r="U283" s="213">
        <v>3</v>
      </c>
      <c r="V283" s="213" t="s">
        <v>3439</v>
      </c>
      <c r="W283" s="213" t="s">
        <v>3361</v>
      </c>
      <c r="X283" s="213" t="s">
        <v>3445</v>
      </c>
      <c r="Y283" s="213" t="s">
        <v>4996</v>
      </c>
      <c r="Z283" s="213" t="s">
        <v>3470</v>
      </c>
      <c r="AA283" s="213">
        <v>75</v>
      </c>
      <c r="AB283" s="213">
        <v>85</v>
      </c>
      <c r="AC283" s="207" t="s">
        <v>4530</v>
      </c>
      <c r="AD283"/>
      <c r="AE283" s="206"/>
      <c r="AF283" s="94"/>
      <c r="AG283" s="94"/>
      <c r="AH283" s="94"/>
      <c r="AI283" s="94"/>
      <c r="AJ283" s="94"/>
      <c r="AK283" s="94"/>
      <c r="AL283" s="94"/>
      <c r="AM283" s="254"/>
      <c r="AN283" s="254"/>
      <c r="AO283" s="94"/>
      <c r="AP283" s="94"/>
      <c r="AQ283" s="94"/>
      <c r="AR283" s="94"/>
      <c r="AS283" s="207"/>
    </row>
    <row r="284" spans="13:45" ht="12.75">
      <c r="M284" s="104"/>
      <c r="O284" s="206" t="s">
        <v>1597</v>
      </c>
      <c r="P284" s="94" t="s">
        <v>2155</v>
      </c>
      <c r="Q284" s="180">
        <v>202533</v>
      </c>
      <c r="R284" s="258">
        <v>2500</v>
      </c>
      <c r="S284" s="259" t="s">
        <v>5004</v>
      </c>
      <c r="T284" s="213" t="s">
        <v>5000</v>
      </c>
      <c r="U284" s="213">
        <v>3</v>
      </c>
      <c r="V284" s="213" t="s">
        <v>3439</v>
      </c>
      <c r="W284" s="213" t="s">
        <v>3361</v>
      </c>
      <c r="X284" s="213" t="s">
        <v>3441</v>
      </c>
      <c r="Y284" s="213" t="s">
        <v>4995</v>
      </c>
      <c r="Z284" s="213" t="s">
        <v>3125</v>
      </c>
      <c r="AA284" s="213">
        <v>15</v>
      </c>
      <c r="AB284" s="213">
        <v>130</v>
      </c>
      <c r="AC284" s="207" t="s">
        <v>3651</v>
      </c>
      <c r="AD284"/>
      <c r="AE284" s="206"/>
      <c r="AF284" s="94"/>
      <c r="AG284" s="94"/>
      <c r="AH284" s="94"/>
      <c r="AI284" s="94"/>
      <c r="AJ284" s="94"/>
      <c r="AK284" s="94"/>
      <c r="AL284" s="94"/>
      <c r="AM284" s="254"/>
      <c r="AN284" s="254"/>
      <c r="AO284" s="94"/>
      <c r="AP284" s="94"/>
      <c r="AQ284" s="94"/>
      <c r="AR284" s="94"/>
      <c r="AS284" s="207"/>
    </row>
    <row r="285" spans="13:45" ht="12.75">
      <c r="M285" s="104"/>
      <c r="O285" s="206" t="s">
        <v>1600</v>
      </c>
      <c r="P285" s="94" t="s">
        <v>2158</v>
      </c>
      <c r="Q285" s="180">
        <v>215381</v>
      </c>
      <c r="R285" s="258">
        <v>2500</v>
      </c>
      <c r="S285" s="259" t="s">
        <v>5004</v>
      </c>
      <c r="T285" s="213" t="s">
        <v>5000</v>
      </c>
      <c r="U285" s="213">
        <v>3</v>
      </c>
      <c r="V285" s="213" t="s">
        <v>3439</v>
      </c>
      <c r="W285" s="213" t="s">
        <v>3361</v>
      </c>
      <c r="X285" s="213" t="s">
        <v>3441</v>
      </c>
      <c r="Y285" s="213" t="s">
        <v>4999</v>
      </c>
      <c r="Z285" s="213" t="s">
        <v>3125</v>
      </c>
      <c r="AA285" s="213">
        <v>15</v>
      </c>
      <c r="AB285" s="213">
        <v>130</v>
      </c>
      <c r="AC285" s="207" t="s">
        <v>3651</v>
      </c>
      <c r="AD285"/>
      <c r="AE285" s="206"/>
      <c r="AF285" s="94"/>
      <c r="AG285" s="94"/>
      <c r="AH285" s="94"/>
      <c r="AI285" s="94"/>
      <c r="AJ285" s="94"/>
      <c r="AK285" s="94"/>
      <c r="AL285" s="94"/>
      <c r="AM285" s="254"/>
      <c r="AN285" s="254"/>
      <c r="AO285" s="94"/>
      <c r="AP285" s="94"/>
      <c r="AQ285" s="94"/>
      <c r="AR285" s="94"/>
      <c r="AS285" s="207"/>
    </row>
    <row r="286" spans="13:45" ht="12.75">
      <c r="M286" s="104"/>
      <c r="O286" s="206" t="s">
        <v>1603</v>
      </c>
      <c r="P286" s="94" t="s">
        <v>4683</v>
      </c>
      <c r="Q286" s="180">
        <v>208163</v>
      </c>
      <c r="R286" s="258">
        <v>2500</v>
      </c>
      <c r="S286" s="259" t="s">
        <v>5004</v>
      </c>
      <c r="T286" s="213" t="s">
        <v>5000</v>
      </c>
      <c r="U286" s="213">
        <v>3</v>
      </c>
      <c r="V286" s="213" t="s">
        <v>3439</v>
      </c>
      <c r="W286" s="213" t="s">
        <v>3361</v>
      </c>
      <c r="X286" s="213" t="s">
        <v>3441</v>
      </c>
      <c r="Y286" s="213" t="s">
        <v>4996</v>
      </c>
      <c r="Z286" s="213" t="s">
        <v>3125</v>
      </c>
      <c r="AA286" s="213">
        <v>15</v>
      </c>
      <c r="AB286" s="213">
        <v>130</v>
      </c>
      <c r="AC286" s="207" t="s">
        <v>3651</v>
      </c>
      <c r="AD286"/>
      <c r="AE286" s="206"/>
      <c r="AF286" s="94"/>
      <c r="AG286" s="94"/>
      <c r="AH286" s="94"/>
      <c r="AI286" s="94"/>
      <c r="AJ286" s="94"/>
      <c r="AK286" s="94"/>
      <c r="AL286" s="94"/>
      <c r="AM286" s="254"/>
      <c r="AN286" s="254"/>
      <c r="AO286" s="94"/>
      <c r="AP286" s="94"/>
      <c r="AQ286" s="94"/>
      <c r="AR286" s="94"/>
      <c r="AS286" s="207"/>
    </row>
    <row r="287" spans="13:45" ht="12.75">
      <c r="M287" s="104"/>
      <c r="O287" s="206" t="s">
        <v>1606</v>
      </c>
      <c r="P287" s="94" t="s">
        <v>4686</v>
      </c>
      <c r="Q287" s="180">
        <v>239590</v>
      </c>
      <c r="R287" s="258">
        <v>2500</v>
      </c>
      <c r="S287" s="259" t="s">
        <v>5004</v>
      </c>
      <c r="T287" s="213" t="s">
        <v>5000</v>
      </c>
      <c r="U287" s="213">
        <v>3</v>
      </c>
      <c r="V287" s="213" t="s">
        <v>3439</v>
      </c>
      <c r="W287" s="213" t="s">
        <v>3361</v>
      </c>
      <c r="X287" s="213" t="s">
        <v>3445</v>
      </c>
      <c r="Y287" s="213" t="s">
        <v>4999</v>
      </c>
      <c r="Z287" s="213" t="s">
        <v>3125</v>
      </c>
      <c r="AA287" s="213">
        <v>15</v>
      </c>
      <c r="AB287" s="213">
        <v>130</v>
      </c>
      <c r="AC287" s="207" t="s">
        <v>3651</v>
      </c>
      <c r="AD287"/>
      <c r="AE287" s="206"/>
      <c r="AF287" s="94"/>
      <c r="AG287" s="94"/>
      <c r="AH287" s="94"/>
      <c r="AI287" s="94"/>
      <c r="AJ287" s="94"/>
      <c r="AK287" s="94"/>
      <c r="AL287" s="94"/>
      <c r="AM287" s="254"/>
      <c r="AN287" s="254"/>
      <c r="AO287" s="94"/>
      <c r="AP287" s="94"/>
      <c r="AQ287" s="94"/>
      <c r="AR287" s="94"/>
      <c r="AS287" s="207"/>
    </row>
    <row r="288" spans="13:45" ht="12.75">
      <c r="M288" s="104"/>
      <c r="O288" s="206" t="s">
        <v>1126</v>
      </c>
      <c r="P288" s="94" t="s">
        <v>4689</v>
      </c>
      <c r="Q288" s="180">
        <v>232372</v>
      </c>
      <c r="R288" s="258">
        <v>2500</v>
      </c>
      <c r="S288" s="259" t="s">
        <v>5004</v>
      </c>
      <c r="T288" s="213" t="s">
        <v>5000</v>
      </c>
      <c r="U288" s="213">
        <v>3</v>
      </c>
      <c r="V288" s="213" t="s">
        <v>3439</v>
      </c>
      <c r="W288" s="213" t="s">
        <v>3361</v>
      </c>
      <c r="X288" s="213" t="s">
        <v>3445</v>
      </c>
      <c r="Y288" s="213" t="s">
        <v>4996</v>
      </c>
      <c r="Z288" s="213" t="s">
        <v>3125</v>
      </c>
      <c r="AA288" s="213">
        <v>15</v>
      </c>
      <c r="AB288" s="213">
        <v>130</v>
      </c>
      <c r="AC288" s="207" t="s">
        <v>3651</v>
      </c>
      <c r="AD288"/>
      <c r="AE288" s="206"/>
      <c r="AF288" s="94"/>
      <c r="AG288" s="94"/>
      <c r="AH288" s="94"/>
      <c r="AI288" s="94"/>
      <c r="AJ288" s="94"/>
      <c r="AK288" s="94"/>
      <c r="AL288" s="94"/>
      <c r="AM288" s="254"/>
      <c r="AN288" s="254"/>
      <c r="AO288" s="94"/>
      <c r="AP288" s="94"/>
      <c r="AQ288" s="94"/>
      <c r="AR288" s="94"/>
      <c r="AS288" s="207"/>
    </row>
    <row r="289" spans="13:45" ht="12.75">
      <c r="M289" s="104"/>
      <c r="O289" s="206" t="s">
        <v>1129</v>
      </c>
      <c r="P289" s="94" t="s">
        <v>4692</v>
      </c>
      <c r="Q289" s="180">
        <v>159704</v>
      </c>
      <c r="R289" s="258">
        <v>3200</v>
      </c>
      <c r="S289" s="259">
        <v>65</v>
      </c>
      <c r="T289" s="213" t="s">
        <v>5000</v>
      </c>
      <c r="U289" s="213">
        <v>3</v>
      </c>
      <c r="V289" s="213" t="s">
        <v>3439</v>
      </c>
      <c r="W289" s="213" t="s">
        <v>3361</v>
      </c>
      <c r="X289" s="213" t="s">
        <v>3441</v>
      </c>
      <c r="Y289" s="213" t="s">
        <v>4995</v>
      </c>
      <c r="Z289" s="213" t="s">
        <v>3356</v>
      </c>
      <c r="AA289" s="213">
        <v>65</v>
      </c>
      <c r="AB289" s="213">
        <v>65</v>
      </c>
      <c r="AC289" s="207" t="s">
        <v>4530</v>
      </c>
      <c r="AD289"/>
      <c r="AE289" s="206"/>
      <c r="AF289" s="94"/>
      <c r="AG289" s="94"/>
      <c r="AH289" s="94"/>
      <c r="AI289" s="94"/>
      <c r="AJ289" s="94"/>
      <c r="AK289" s="94"/>
      <c r="AL289" s="94"/>
      <c r="AM289" s="254"/>
      <c r="AN289" s="254"/>
      <c r="AO289" s="94"/>
      <c r="AP289" s="94"/>
      <c r="AQ289" s="94"/>
      <c r="AR289" s="94"/>
      <c r="AS289" s="207"/>
    </row>
    <row r="290" spans="13:45" ht="12.75">
      <c r="M290" s="104"/>
      <c r="O290" s="206" t="s">
        <v>1132</v>
      </c>
      <c r="P290" s="94" t="s">
        <v>4695</v>
      </c>
      <c r="Q290" s="180">
        <v>172553</v>
      </c>
      <c r="R290" s="258">
        <v>3200</v>
      </c>
      <c r="S290" s="259">
        <v>65</v>
      </c>
      <c r="T290" s="213" t="s">
        <v>5000</v>
      </c>
      <c r="U290" s="213">
        <v>3</v>
      </c>
      <c r="V290" s="213" t="s">
        <v>3439</v>
      </c>
      <c r="W290" s="213" t="s">
        <v>3361</v>
      </c>
      <c r="X290" s="213" t="s">
        <v>3441</v>
      </c>
      <c r="Y290" s="213" t="s">
        <v>4999</v>
      </c>
      <c r="Z290" s="213" t="s">
        <v>3356</v>
      </c>
      <c r="AA290" s="213">
        <v>65</v>
      </c>
      <c r="AB290" s="213">
        <v>65</v>
      </c>
      <c r="AC290" s="207" t="s">
        <v>4530</v>
      </c>
      <c r="AD290"/>
      <c r="AE290" s="206"/>
      <c r="AF290" s="94"/>
      <c r="AG290" s="94"/>
      <c r="AH290" s="94"/>
      <c r="AI290" s="94"/>
      <c r="AJ290" s="94"/>
      <c r="AK290" s="94"/>
      <c r="AL290" s="94"/>
      <c r="AM290" s="254"/>
      <c r="AN290" s="254"/>
      <c r="AO290" s="94"/>
      <c r="AP290" s="94"/>
      <c r="AQ290" s="94"/>
      <c r="AR290" s="94"/>
      <c r="AS290" s="207"/>
    </row>
    <row r="291" spans="13:45" ht="12.75">
      <c r="M291" s="104"/>
      <c r="O291" s="206" t="s">
        <v>1135</v>
      </c>
      <c r="P291" s="94" t="s">
        <v>3975</v>
      </c>
      <c r="Q291" s="180">
        <v>165336</v>
      </c>
      <c r="R291" s="258">
        <v>3200</v>
      </c>
      <c r="S291" s="259">
        <v>65</v>
      </c>
      <c r="T291" s="213" t="s">
        <v>5000</v>
      </c>
      <c r="U291" s="213">
        <v>3</v>
      </c>
      <c r="V291" s="213" t="s">
        <v>3439</v>
      </c>
      <c r="W291" s="213" t="s">
        <v>3361</v>
      </c>
      <c r="X291" s="213" t="s">
        <v>3441</v>
      </c>
      <c r="Y291" s="213" t="s">
        <v>4996</v>
      </c>
      <c r="Z291" s="213" t="s">
        <v>3356</v>
      </c>
      <c r="AA291" s="213">
        <v>65</v>
      </c>
      <c r="AB291" s="213">
        <v>65</v>
      </c>
      <c r="AC291" s="207" t="s">
        <v>4530</v>
      </c>
      <c r="AD291"/>
      <c r="AE291" s="206"/>
      <c r="AF291" s="94"/>
      <c r="AG291" s="94"/>
      <c r="AH291" s="94"/>
      <c r="AI291" s="94"/>
      <c r="AJ291" s="94"/>
      <c r="AK291" s="94"/>
      <c r="AL291" s="94"/>
      <c r="AM291" s="254"/>
      <c r="AN291" s="254"/>
      <c r="AO291" s="94"/>
      <c r="AP291" s="94"/>
      <c r="AQ291" s="94"/>
      <c r="AR291" s="94"/>
      <c r="AS291" s="207"/>
    </row>
    <row r="292" spans="13:45" ht="12.75">
      <c r="M292" s="104"/>
      <c r="O292" s="206" t="s">
        <v>1138</v>
      </c>
      <c r="P292" s="94" t="s">
        <v>3826</v>
      </c>
      <c r="Q292" s="180">
        <v>196761</v>
      </c>
      <c r="R292" s="258">
        <v>3200</v>
      </c>
      <c r="S292" s="259">
        <v>65</v>
      </c>
      <c r="T292" s="213" t="s">
        <v>5000</v>
      </c>
      <c r="U292" s="213">
        <v>3</v>
      </c>
      <c r="V292" s="213" t="s">
        <v>3439</v>
      </c>
      <c r="W292" s="213" t="s">
        <v>3361</v>
      </c>
      <c r="X292" s="213" t="s">
        <v>3445</v>
      </c>
      <c r="Y292" s="213" t="s">
        <v>4999</v>
      </c>
      <c r="Z292" s="213" t="s">
        <v>3356</v>
      </c>
      <c r="AA292" s="213">
        <v>65</v>
      </c>
      <c r="AB292" s="213">
        <v>65</v>
      </c>
      <c r="AC292" s="207" t="s">
        <v>4530</v>
      </c>
      <c r="AD292"/>
      <c r="AE292" s="206"/>
      <c r="AF292" s="94"/>
      <c r="AG292" s="94"/>
      <c r="AH292" s="94"/>
      <c r="AI292" s="94"/>
      <c r="AJ292" s="94"/>
      <c r="AK292" s="94"/>
      <c r="AL292" s="94"/>
      <c r="AM292" s="254"/>
      <c r="AN292" s="254"/>
      <c r="AO292" s="94"/>
      <c r="AP292" s="94"/>
      <c r="AQ292" s="94"/>
      <c r="AR292" s="94"/>
      <c r="AS292" s="207"/>
    </row>
    <row r="293" spans="13:45" ht="12.75">
      <c r="M293" s="104"/>
      <c r="O293" s="206" t="s">
        <v>1141</v>
      </c>
      <c r="P293" s="94" t="s">
        <v>2159</v>
      </c>
      <c r="Q293" s="180">
        <v>189544</v>
      </c>
      <c r="R293" s="258">
        <v>3200</v>
      </c>
      <c r="S293" s="259">
        <v>65</v>
      </c>
      <c r="T293" s="213" t="s">
        <v>5000</v>
      </c>
      <c r="U293" s="213">
        <v>3</v>
      </c>
      <c r="V293" s="213" t="s">
        <v>3439</v>
      </c>
      <c r="W293" s="213" t="s">
        <v>3361</v>
      </c>
      <c r="X293" s="213" t="s">
        <v>3445</v>
      </c>
      <c r="Y293" s="213" t="s">
        <v>4996</v>
      </c>
      <c r="Z293" s="213" t="s">
        <v>3356</v>
      </c>
      <c r="AA293" s="213">
        <v>65</v>
      </c>
      <c r="AB293" s="213">
        <v>65</v>
      </c>
      <c r="AC293" s="207" t="s">
        <v>4530</v>
      </c>
      <c r="AD293"/>
      <c r="AE293" s="206"/>
      <c r="AF293" s="94"/>
      <c r="AG293" s="94"/>
      <c r="AH293" s="94"/>
      <c r="AI293" s="94"/>
      <c r="AJ293" s="94"/>
      <c r="AK293" s="94"/>
      <c r="AL293" s="94"/>
      <c r="AM293" s="254"/>
      <c r="AN293" s="254"/>
      <c r="AO293" s="94"/>
      <c r="AP293" s="94"/>
      <c r="AQ293" s="94"/>
      <c r="AR293" s="94"/>
      <c r="AS293" s="207"/>
    </row>
    <row r="294" spans="13:45" ht="12.75">
      <c r="M294" s="104"/>
      <c r="O294" s="206" t="s">
        <v>1144</v>
      </c>
      <c r="P294" s="94" t="s">
        <v>2682</v>
      </c>
      <c r="Q294" s="180">
        <v>219884</v>
      </c>
      <c r="R294" s="258">
        <v>3200</v>
      </c>
      <c r="S294" s="259">
        <v>75</v>
      </c>
      <c r="T294" s="213" t="s">
        <v>5000</v>
      </c>
      <c r="U294" s="213">
        <v>3</v>
      </c>
      <c r="V294" s="213" t="s">
        <v>3439</v>
      </c>
      <c r="W294" s="213" t="s">
        <v>3361</v>
      </c>
      <c r="X294" s="213" t="s">
        <v>3441</v>
      </c>
      <c r="Y294" s="213" t="s">
        <v>4995</v>
      </c>
      <c r="Z294" s="213" t="s">
        <v>4549</v>
      </c>
      <c r="AA294" s="213">
        <v>75</v>
      </c>
      <c r="AB294" s="213">
        <v>75</v>
      </c>
      <c r="AC294" s="207" t="s">
        <v>4530</v>
      </c>
      <c r="AD294"/>
      <c r="AE294" s="206"/>
      <c r="AF294" s="94"/>
      <c r="AG294" s="94"/>
      <c r="AH294" s="94"/>
      <c r="AI294" s="94"/>
      <c r="AJ294" s="94"/>
      <c r="AK294" s="94"/>
      <c r="AL294" s="94"/>
      <c r="AM294" s="254"/>
      <c r="AN294" s="254"/>
      <c r="AO294" s="94"/>
      <c r="AP294" s="94"/>
      <c r="AQ294" s="94"/>
      <c r="AR294" s="94"/>
      <c r="AS294" s="207"/>
    </row>
    <row r="295" spans="13:45" ht="12.75">
      <c r="M295" s="104"/>
      <c r="O295" s="206" t="s">
        <v>1147</v>
      </c>
      <c r="P295" s="94" t="s">
        <v>2685</v>
      </c>
      <c r="Q295" s="180">
        <v>232733</v>
      </c>
      <c r="R295" s="258">
        <v>3200</v>
      </c>
      <c r="S295" s="259">
        <v>75</v>
      </c>
      <c r="T295" s="213" t="s">
        <v>5000</v>
      </c>
      <c r="U295" s="213">
        <v>3</v>
      </c>
      <c r="V295" s="213" t="s">
        <v>3439</v>
      </c>
      <c r="W295" s="213" t="s">
        <v>3361</v>
      </c>
      <c r="X295" s="213" t="s">
        <v>3441</v>
      </c>
      <c r="Y295" s="213" t="s">
        <v>4999</v>
      </c>
      <c r="Z295" s="213" t="s">
        <v>4549</v>
      </c>
      <c r="AA295" s="213">
        <v>75</v>
      </c>
      <c r="AB295" s="213">
        <v>75</v>
      </c>
      <c r="AC295" s="207" t="s">
        <v>4530</v>
      </c>
      <c r="AD295"/>
      <c r="AE295" s="206"/>
      <c r="AF295" s="94"/>
      <c r="AG295" s="94"/>
      <c r="AH295" s="94"/>
      <c r="AI295" s="94"/>
      <c r="AJ295" s="94"/>
      <c r="AK295" s="94"/>
      <c r="AL295" s="94"/>
      <c r="AM295" s="254"/>
      <c r="AN295" s="254"/>
      <c r="AO295" s="94"/>
      <c r="AP295" s="94"/>
      <c r="AQ295" s="94"/>
      <c r="AR295" s="94"/>
      <c r="AS295" s="207"/>
    </row>
    <row r="296" spans="13:45" ht="12.75">
      <c r="M296" s="104"/>
      <c r="O296" s="206" t="s">
        <v>1150</v>
      </c>
      <c r="P296" s="94" t="s">
        <v>2688</v>
      </c>
      <c r="Q296" s="180">
        <v>225514</v>
      </c>
      <c r="R296" s="258">
        <v>3200</v>
      </c>
      <c r="S296" s="259">
        <v>75</v>
      </c>
      <c r="T296" s="213" t="s">
        <v>5000</v>
      </c>
      <c r="U296" s="213">
        <v>3</v>
      </c>
      <c r="V296" s="213" t="s">
        <v>3439</v>
      </c>
      <c r="W296" s="213" t="s">
        <v>3361</v>
      </c>
      <c r="X296" s="213" t="s">
        <v>3441</v>
      </c>
      <c r="Y296" s="213" t="s">
        <v>4996</v>
      </c>
      <c r="Z296" s="213" t="s">
        <v>4549</v>
      </c>
      <c r="AA296" s="213">
        <v>75</v>
      </c>
      <c r="AB296" s="213">
        <v>75</v>
      </c>
      <c r="AC296" s="207" t="s">
        <v>4530</v>
      </c>
      <c r="AD296"/>
      <c r="AE296" s="206"/>
      <c r="AF296" s="94"/>
      <c r="AG296" s="94"/>
      <c r="AH296" s="94"/>
      <c r="AI296" s="94"/>
      <c r="AJ296" s="94"/>
      <c r="AK296" s="94"/>
      <c r="AL296" s="94"/>
      <c r="AM296" s="254"/>
      <c r="AN296" s="254"/>
      <c r="AO296" s="94"/>
      <c r="AP296" s="94"/>
      <c r="AQ296" s="94"/>
      <c r="AR296" s="94"/>
      <c r="AS296" s="207"/>
    </row>
    <row r="297" spans="13:45" ht="12.75">
      <c r="M297" s="104"/>
      <c r="O297" s="206" t="s">
        <v>1153</v>
      </c>
      <c r="P297" s="94" t="s">
        <v>2168</v>
      </c>
      <c r="Q297" s="180">
        <v>256942</v>
      </c>
      <c r="R297" s="258">
        <v>3200</v>
      </c>
      <c r="S297" s="259">
        <v>75</v>
      </c>
      <c r="T297" s="213" t="s">
        <v>5000</v>
      </c>
      <c r="U297" s="213">
        <v>3</v>
      </c>
      <c r="V297" s="213" t="s">
        <v>3439</v>
      </c>
      <c r="W297" s="213" t="s">
        <v>3361</v>
      </c>
      <c r="X297" s="213" t="s">
        <v>3445</v>
      </c>
      <c r="Y297" s="213" t="s">
        <v>4999</v>
      </c>
      <c r="Z297" s="213" t="s">
        <v>4549</v>
      </c>
      <c r="AA297" s="213">
        <v>75</v>
      </c>
      <c r="AB297" s="213">
        <v>75</v>
      </c>
      <c r="AC297" s="207" t="s">
        <v>4530</v>
      </c>
      <c r="AD297"/>
      <c r="AE297" s="206"/>
      <c r="AF297" s="94"/>
      <c r="AG297" s="94"/>
      <c r="AH297" s="94"/>
      <c r="AI297" s="94"/>
      <c r="AJ297" s="94"/>
      <c r="AK297" s="94"/>
      <c r="AL297" s="94"/>
      <c r="AM297" s="254"/>
      <c r="AN297" s="254"/>
      <c r="AO297" s="94"/>
      <c r="AP297" s="94"/>
      <c r="AQ297" s="94"/>
      <c r="AR297" s="94"/>
      <c r="AS297" s="207"/>
    </row>
    <row r="298" spans="13:45" ht="12.75">
      <c r="M298" s="104"/>
      <c r="O298" s="206" t="s">
        <v>1156</v>
      </c>
      <c r="P298" s="94" t="s">
        <v>4505</v>
      </c>
      <c r="Q298" s="180">
        <v>249725</v>
      </c>
      <c r="R298" s="258">
        <v>3200</v>
      </c>
      <c r="S298" s="259">
        <v>75</v>
      </c>
      <c r="T298" s="213" t="s">
        <v>5000</v>
      </c>
      <c r="U298" s="213">
        <v>3</v>
      </c>
      <c r="V298" s="213" t="s">
        <v>3439</v>
      </c>
      <c r="W298" s="213" t="s">
        <v>3361</v>
      </c>
      <c r="X298" s="213" t="s">
        <v>3445</v>
      </c>
      <c r="Y298" s="213" t="s">
        <v>4996</v>
      </c>
      <c r="Z298" s="213" t="s">
        <v>4549</v>
      </c>
      <c r="AA298" s="213">
        <v>75</v>
      </c>
      <c r="AB298" s="213">
        <v>75</v>
      </c>
      <c r="AC298" s="207" t="s">
        <v>4530</v>
      </c>
      <c r="AD298"/>
      <c r="AE298" s="206"/>
      <c r="AF298" s="94"/>
      <c r="AG298" s="94"/>
      <c r="AH298" s="94"/>
      <c r="AI298" s="94"/>
      <c r="AJ298" s="94"/>
      <c r="AK298" s="94"/>
      <c r="AL298" s="94"/>
      <c r="AM298" s="254"/>
      <c r="AN298" s="254"/>
      <c r="AO298" s="94"/>
      <c r="AP298" s="94"/>
      <c r="AQ298" s="94"/>
      <c r="AR298" s="94"/>
      <c r="AS298" s="207"/>
    </row>
    <row r="299" spans="13:45" ht="12.75">
      <c r="M299" s="104"/>
      <c r="O299" s="206" t="s">
        <v>1159</v>
      </c>
      <c r="P299" s="94" t="s">
        <v>4508</v>
      </c>
      <c r="Q299" s="180">
        <v>230542</v>
      </c>
      <c r="R299" s="258">
        <v>3200</v>
      </c>
      <c r="S299" s="259" t="s">
        <v>847</v>
      </c>
      <c r="T299" s="213" t="s">
        <v>5000</v>
      </c>
      <c r="U299" s="213">
        <v>3</v>
      </c>
      <c r="V299" s="213" t="s">
        <v>3439</v>
      </c>
      <c r="W299" s="213" t="s">
        <v>3361</v>
      </c>
      <c r="X299" s="213" t="s">
        <v>3441</v>
      </c>
      <c r="Y299" s="213" t="s">
        <v>4995</v>
      </c>
      <c r="Z299" s="213" t="s">
        <v>3470</v>
      </c>
      <c r="AA299" s="213">
        <v>75</v>
      </c>
      <c r="AB299" s="213">
        <v>85</v>
      </c>
      <c r="AC299" s="207" t="s">
        <v>4530</v>
      </c>
      <c r="AD299"/>
      <c r="AE299" s="206"/>
      <c r="AF299" s="94"/>
      <c r="AG299" s="94"/>
      <c r="AH299" s="94"/>
      <c r="AI299" s="94"/>
      <c r="AJ299" s="94"/>
      <c r="AK299" s="94"/>
      <c r="AL299" s="94"/>
      <c r="AM299" s="254"/>
      <c r="AN299" s="254"/>
      <c r="AO299" s="94"/>
      <c r="AP299" s="94"/>
      <c r="AQ299" s="94"/>
      <c r="AR299" s="94"/>
      <c r="AS299" s="207"/>
    </row>
    <row r="300" spans="13:45" ht="12.75">
      <c r="M300" s="104"/>
      <c r="O300" s="206" t="s">
        <v>1162</v>
      </c>
      <c r="P300" s="94" t="s">
        <v>3715</v>
      </c>
      <c r="Q300" s="180">
        <v>243388</v>
      </c>
      <c r="R300" s="258">
        <v>3200</v>
      </c>
      <c r="S300" s="259" t="s">
        <v>847</v>
      </c>
      <c r="T300" s="213" t="s">
        <v>5000</v>
      </c>
      <c r="U300" s="213">
        <v>3</v>
      </c>
      <c r="V300" s="213" t="s">
        <v>3439</v>
      </c>
      <c r="W300" s="213" t="s">
        <v>3361</v>
      </c>
      <c r="X300" s="213" t="s">
        <v>3441</v>
      </c>
      <c r="Y300" s="213" t="s">
        <v>4999</v>
      </c>
      <c r="Z300" s="213" t="s">
        <v>3470</v>
      </c>
      <c r="AA300" s="213">
        <v>75</v>
      </c>
      <c r="AB300" s="213">
        <v>85</v>
      </c>
      <c r="AC300" s="207" t="s">
        <v>4530</v>
      </c>
      <c r="AD300"/>
      <c r="AE300" s="206"/>
      <c r="AF300" s="94"/>
      <c r="AG300" s="94"/>
      <c r="AH300" s="94"/>
      <c r="AI300" s="94"/>
      <c r="AJ300" s="94"/>
      <c r="AK300" s="94"/>
      <c r="AL300" s="94"/>
      <c r="AM300" s="254"/>
      <c r="AN300" s="254"/>
      <c r="AO300" s="94"/>
      <c r="AP300" s="94"/>
      <c r="AQ300" s="94"/>
      <c r="AR300" s="94"/>
      <c r="AS300" s="207"/>
    </row>
    <row r="301" spans="13:45" ht="12.75">
      <c r="M301" s="104"/>
      <c r="O301" s="206" t="s">
        <v>1165</v>
      </c>
      <c r="P301" s="94" t="s">
        <v>2185</v>
      </c>
      <c r="Q301" s="180">
        <v>236171</v>
      </c>
      <c r="R301" s="258">
        <v>3200</v>
      </c>
      <c r="S301" s="259" t="s">
        <v>847</v>
      </c>
      <c r="T301" s="213" t="s">
        <v>5000</v>
      </c>
      <c r="U301" s="213">
        <v>3</v>
      </c>
      <c r="V301" s="213" t="s">
        <v>3439</v>
      </c>
      <c r="W301" s="213" t="s">
        <v>3361</v>
      </c>
      <c r="X301" s="213" t="s">
        <v>3441</v>
      </c>
      <c r="Y301" s="213" t="s">
        <v>4996</v>
      </c>
      <c r="Z301" s="213" t="s">
        <v>3470</v>
      </c>
      <c r="AA301" s="213">
        <v>75</v>
      </c>
      <c r="AB301" s="213">
        <v>85</v>
      </c>
      <c r="AC301" s="207" t="s">
        <v>4530</v>
      </c>
      <c r="AD301"/>
      <c r="AE301" s="206"/>
      <c r="AF301" s="94"/>
      <c r="AG301" s="94"/>
      <c r="AH301" s="94"/>
      <c r="AI301" s="94"/>
      <c r="AJ301" s="94"/>
      <c r="AK301" s="94"/>
      <c r="AL301" s="94"/>
      <c r="AM301" s="254"/>
      <c r="AN301" s="254"/>
      <c r="AO301" s="94"/>
      <c r="AP301" s="94"/>
      <c r="AQ301" s="94"/>
      <c r="AR301" s="94"/>
      <c r="AS301" s="207"/>
    </row>
    <row r="302" spans="13:45" ht="12.75">
      <c r="M302" s="104"/>
      <c r="O302" s="206" t="s">
        <v>1168</v>
      </c>
      <c r="P302" s="94" t="s">
        <v>2188</v>
      </c>
      <c r="Q302" s="180">
        <v>267598</v>
      </c>
      <c r="R302" s="258">
        <v>3200</v>
      </c>
      <c r="S302" s="259" t="s">
        <v>847</v>
      </c>
      <c r="T302" s="213" t="s">
        <v>5000</v>
      </c>
      <c r="U302" s="213">
        <v>3</v>
      </c>
      <c r="V302" s="213" t="s">
        <v>3439</v>
      </c>
      <c r="W302" s="213" t="s">
        <v>3361</v>
      </c>
      <c r="X302" s="213" t="s">
        <v>3445</v>
      </c>
      <c r="Y302" s="213" t="s">
        <v>4999</v>
      </c>
      <c r="Z302" s="213" t="s">
        <v>3470</v>
      </c>
      <c r="AA302" s="213">
        <v>75</v>
      </c>
      <c r="AB302" s="213">
        <v>85</v>
      </c>
      <c r="AC302" s="207" t="s">
        <v>4530</v>
      </c>
      <c r="AD302"/>
      <c r="AE302" s="206"/>
      <c r="AF302" s="94"/>
      <c r="AG302" s="94"/>
      <c r="AH302" s="94"/>
      <c r="AI302" s="94"/>
      <c r="AJ302" s="94"/>
      <c r="AK302" s="94"/>
      <c r="AL302" s="94"/>
      <c r="AM302" s="254"/>
      <c r="AN302" s="254"/>
      <c r="AO302" s="94"/>
      <c r="AP302" s="94"/>
      <c r="AQ302" s="94"/>
      <c r="AR302" s="94"/>
      <c r="AS302" s="207"/>
    </row>
    <row r="303" spans="13:45" ht="12.75">
      <c r="M303" s="104"/>
      <c r="O303" s="206" t="s">
        <v>1171</v>
      </c>
      <c r="P303" s="94" t="s">
        <v>2191</v>
      </c>
      <c r="Q303" s="180">
        <v>260379</v>
      </c>
      <c r="R303" s="258">
        <v>3200</v>
      </c>
      <c r="S303" s="259" t="s">
        <v>847</v>
      </c>
      <c r="T303" s="213" t="s">
        <v>5000</v>
      </c>
      <c r="U303" s="213">
        <v>3</v>
      </c>
      <c r="V303" s="213" t="s">
        <v>3439</v>
      </c>
      <c r="W303" s="213" t="s">
        <v>3361</v>
      </c>
      <c r="X303" s="213" t="s">
        <v>3445</v>
      </c>
      <c r="Y303" s="213" t="s">
        <v>4996</v>
      </c>
      <c r="Z303" s="213" t="s">
        <v>3470</v>
      </c>
      <c r="AA303" s="213">
        <v>75</v>
      </c>
      <c r="AB303" s="213">
        <v>85</v>
      </c>
      <c r="AC303" s="207" t="s">
        <v>4530</v>
      </c>
      <c r="AD303"/>
      <c r="AE303" s="206"/>
      <c r="AF303" s="94"/>
      <c r="AG303" s="94"/>
      <c r="AH303" s="94"/>
      <c r="AI303" s="94"/>
      <c r="AJ303" s="94"/>
      <c r="AK303" s="94"/>
      <c r="AL303" s="94"/>
      <c r="AM303" s="254"/>
      <c r="AN303" s="254"/>
      <c r="AO303" s="94"/>
      <c r="AP303" s="94"/>
      <c r="AQ303" s="94"/>
      <c r="AR303" s="94"/>
      <c r="AS303" s="207"/>
    </row>
    <row r="304" spans="13:45" ht="12.75">
      <c r="M304" s="104"/>
      <c r="O304" s="206" t="s">
        <v>1173</v>
      </c>
      <c r="P304" s="94" t="s">
        <v>2193</v>
      </c>
      <c r="Q304" s="180">
        <v>98547</v>
      </c>
      <c r="R304" s="258">
        <v>1250</v>
      </c>
      <c r="S304" s="259">
        <v>75</v>
      </c>
      <c r="T304" s="213" t="s">
        <v>5000</v>
      </c>
      <c r="U304" s="213">
        <v>3</v>
      </c>
      <c r="V304" s="213" t="s">
        <v>3443</v>
      </c>
      <c r="W304" s="213" t="s">
        <v>3572</v>
      </c>
      <c r="X304" s="213" t="s">
        <v>3441</v>
      </c>
      <c r="Y304" s="213" t="s">
        <v>4995</v>
      </c>
      <c r="Z304" s="213" t="s">
        <v>4549</v>
      </c>
      <c r="AA304" s="213">
        <v>75</v>
      </c>
      <c r="AB304" s="213">
        <v>75</v>
      </c>
      <c r="AC304" s="207" t="s">
        <v>4530</v>
      </c>
      <c r="AD304"/>
      <c r="AE304" s="206"/>
      <c r="AF304" s="94"/>
      <c r="AG304" s="94"/>
      <c r="AH304" s="94"/>
      <c r="AI304" s="94"/>
      <c r="AJ304" s="94"/>
      <c r="AK304" s="94"/>
      <c r="AL304" s="94"/>
      <c r="AM304" s="254"/>
      <c r="AN304" s="254"/>
      <c r="AO304" s="94"/>
      <c r="AP304" s="94"/>
      <c r="AQ304" s="94"/>
      <c r="AR304" s="94"/>
      <c r="AS304" s="207"/>
    </row>
    <row r="305" spans="13:45" ht="12.75">
      <c r="M305" s="104"/>
      <c r="O305" s="206" t="s">
        <v>1174</v>
      </c>
      <c r="P305" s="94" t="s">
        <v>2194</v>
      </c>
      <c r="Q305" s="180">
        <v>111394</v>
      </c>
      <c r="R305" s="258">
        <v>1250</v>
      </c>
      <c r="S305" s="259">
        <v>75</v>
      </c>
      <c r="T305" s="213" t="s">
        <v>5000</v>
      </c>
      <c r="U305" s="213">
        <v>3</v>
      </c>
      <c r="V305" s="213" t="s">
        <v>3443</v>
      </c>
      <c r="W305" s="213" t="s">
        <v>3572</v>
      </c>
      <c r="X305" s="213" t="s">
        <v>3441</v>
      </c>
      <c r="Y305" s="213" t="s">
        <v>4999</v>
      </c>
      <c r="Z305" s="213" t="s">
        <v>4549</v>
      </c>
      <c r="AA305" s="213">
        <v>75</v>
      </c>
      <c r="AB305" s="213">
        <v>75</v>
      </c>
      <c r="AC305" s="207" t="s">
        <v>4530</v>
      </c>
      <c r="AD305"/>
      <c r="AE305" s="206"/>
      <c r="AF305" s="94"/>
      <c r="AG305" s="94"/>
      <c r="AH305" s="94"/>
      <c r="AI305" s="94"/>
      <c r="AJ305" s="94"/>
      <c r="AK305" s="94"/>
      <c r="AL305" s="94"/>
      <c r="AM305" s="254"/>
      <c r="AN305" s="254"/>
      <c r="AO305" s="94"/>
      <c r="AP305" s="94"/>
      <c r="AQ305" s="94"/>
      <c r="AR305" s="94"/>
      <c r="AS305" s="207"/>
    </row>
    <row r="306" spans="13:45" ht="12.75">
      <c r="M306" s="104"/>
      <c r="O306" s="206" t="s">
        <v>1175</v>
      </c>
      <c r="P306" s="94" t="s">
        <v>2195</v>
      </c>
      <c r="Q306" s="180">
        <v>104177</v>
      </c>
      <c r="R306" s="258">
        <v>1250</v>
      </c>
      <c r="S306" s="259">
        <v>75</v>
      </c>
      <c r="T306" s="213" t="s">
        <v>5000</v>
      </c>
      <c r="U306" s="213">
        <v>3</v>
      </c>
      <c r="V306" s="213" t="s">
        <v>3443</v>
      </c>
      <c r="W306" s="213" t="s">
        <v>3572</v>
      </c>
      <c r="X306" s="213" t="s">
        <v>3441</v>
      </c>
      <c r="Y306" s="213" t="s">
        <v>4996</v>
      </c>
      <c r="Z306" s="213" t="s">
        <v>4549</v>
      </c>
      <c r="AA306" s="213">
        <v>75</v>
      </c>
      <c r="AB306" s="213">
        <v>75</v>
      </c>
      <c r="AC306" s="207" t="s">
        <v>4530</v>
      </c>
      <c r="AD306"/>
      <c r="AE306" s="206"/>
      <c r="AF306" s="94"/>
      <c r="AG306" s="94"/>
      <c r="AH306" s="94"/>
      <c r="AI306" s="94"/>
      <c r="AJ306" s="94"/>
      <c r="AK306" s="94"/>
      <c r="AL306" s="94"/>
      <c r="AM306" s="254"/>
      <c r="AN306" s="254"/>
      <c r="AO306" s="94"/>
      <c r="AP306" s="94"/>
      <c r="AQ306" s="94"/>
      <c r="AR306" s="94"/>
      <c r="AS306" s="207"/>
    </row>
    <row r="307" spans="13:45" ht="12.75">
      <c r="M307" s="104"/>
      <c r="O307" s="206" t="s">
        <v>1176</v>
      </c>
      <c r="P307" s="94" t="s">
        <v>2196</v>
      </c>
      <c r="Q307" s="180">
        <v>135604</v>
      </c>
      <c r="R307" s="258">
        <v>1250</v>
      </c>
      <c r="S307" s="259">
        <v>75</v>
      </c>
      <c r="T307" s="213" t="s">
        <v>5000</v>
      </c>
      <c r="U307" s="213">
        <v>3</v>
      </c>
      <c r="V307" s="213" t="s">
        <v>3443</v>
      </c>
      <c r="W307" s="213" t="s">
        <v>3572</v>
      </c>
      <c r="X307" s="213" t="s">
        <v>3445</v>
      </c>
      <c r="Y307" s="213" t="s">
        <v>4999</v>
      </c>
      <c r="Z307" s="213" t="s">
        <v>4549</v>
      </c>
      <c r="AA307" s="213">
        <v>75</v>
      </c>
      <c r="AB307" s="213">
        <v>75</v>
      </c>
      <c r="AC307" s="207" t="s">
        <v>4530</v>
      </c>
      <c r="AD307"/>
      <c r="AE307" s="206"/>
      <c r="AF307" s="94"/>
      <c r="AG307" s="94"/>
      <c r="AH307" s="94"/>
      <c r="AI307" s="94"/>
      <c r="AJ307" s="94"/>
      <c r="AK307" s="94"/>
      <c r="AL307" s="94"/>
      <c r="AM307" s="254"/>
      <c r="AN307" s="254"/>
      <c r="AO307" s="94"/>
      <c r="AP307" s="94"/>
      <c r="AQ307" s="94"/>
      <c r="AR307" s="94"/>
      <c r="AS307" s="207"/>
    </row>
    <row r="308" spans="13:45" ht="12.75">
      <c r="M308" s="104"/>
      <c r="O308" s="206" t="s">
        <v>1177</v>
      </c>
      <c r="P308" s="94" t="s">
        <v>2197</v>
      </c>
      <c r="Q308" s="180">
        <v>128385</v>
      </c>
      <c r="R308" s="258">
        <v>1250</v>
      </c>
      <c r="S308" s="259">
        <v>75</v>
      </c>
      <c r="T308" s="213" t="s">
        <v>5000</v>
      </c>
      <c r="U308" s="213">
        <v>3</v>
      </c>
      <c r="V308" s="213" t="s">
        <v>3443</v>
      </c>
      <c r="W308" s="213" t="s">
        <v>3572</v>
      </c>
      <c r="X308" s="213" t="s">
        <v>3445</v>
      </c>
      <c r="Y308" s="213" t="s">
        <v>4996</v>
      </c>
      <c r="Z308" s="213" t="s">
        <v>4549</v>
      </c>
      <c r="AA308" s="213">
        <v>75</v>
      </c>
      <c r="AB308" s="213">
        <v>75</v>
      </c>
      <c r="AC308" s="207" t="s">
        <v>4530</v>
      </c>
      <c r="AD308"/>
      <c r="AE308" s="206"/>
      <c r="AF308" s="94"/>
      <c r="AG308" s="94"/>
      <c r="AH308" s="94"/>
      <c r="AI308" s="94"/>
      <c r="AJ308" s="94"/>
      <c r="AK308" s="94"/>
      <c r="AL308" s="94"/>
      <c r="AM308" s="254"/>
      <c r="AN308" s="254"/>
      <c r="AO308" s="94"/>
      <c r="AP308" s="94"/>
      <c r="AQ308" s="94"/>
      <c r="AR308" s="94"/>
      <c r="AS308" s="207"/>
    </row>
    <row r="309" spans="13:45" ht="12.75">
      <c r="M309" s="104"/>
      <c r="O309" s="206" t="s">
        <v>1178</v>
      </c>
      <c r="P309" s="94" t="s">
        <v>2198</v>
      </c>
      <c r="Q309" s="180">
        <v>109051</v>
      </c>
      <c r="R309" s="258">
        <v>1250</v>
      </c>
      <c r="S309" s="259">
        <v>100</v>
      </c>
      <c r="T309" s="213" t="s">
        <v>5000</v>
      </c>
      <c r="U309" s="213">
        <v>3</v>
      </c>
      <c r="V309" s="213" t="s">
        <v>3443</v>
      </c>
      <c r="W309" s="213" t="s">
        <v>3572</v>
      </c>
      <c r="X309" s="213" t="s">
        <v>3441</v>
      </c>
      <c r="Y309" s="213" t="s">
        <v>4995</v>
      </c>
      <c r="Z309" s="213" t="s">
        <v>3470</v>
      </c>
      <c r="AA309" s="213">
        <v>75</v>
      </c>
      <c r="AB309" s="213">
        <v>85</v>
      </c>
      <c r="AC309" s="207" t="s">
        <v>4530</v>
      </c>
      <c r="AD309"/>
      <c r="AE309" s="206"/>
      <c r="AF309" s="94"/>
      <c r="AG309" s="94"/>
      <c r="AH309" s="94"/>
      <c r="AI309" s="94"/>
      <c r="AJ309" s="94"/>
      <c r="AK309" s="94"/>
      <c r="AL309" s="94"/>
      <c r="AM309" s="254"/>
      <c r="AN309" s="254"/>
      <c r="AO309" s="94"/>
      <c r="AP309" s="94"/>
      <c r="AQ309" s="94"/>
      <c r="AR309" s="94"/>
      <c r="AS309" s="207"/>
    </row>
    <row r="310" spans="13:45" ht="12.75">
      <c r="M310" s="104"/>
      <c r="O310" s="206" t="s">
        <v>1179</v>
      </c>
      <c r="P310" s="94" t="s">
        <v>2199</v>
      </c>
      <c r="Q310" s="180">
        <v>121899</v>
      </c>
      <c r="R310" s="258">
        <v>1250</v>
      </c>
      <c r="S310" s="259">
        <v>100</v>
      </c>
      <c r="T310" s="213" t="s">
        <v>5000</v>
      </c>
      <c r="U310" s="213">
        <v>3</v>
      </c>
      <c r="V310" s="213" t="s">
        <v>3443</v>
      </c>
      <c r="W310" s="213" t="s">
        <v>3572</v>
      </c>
      <c r="X310" s="213" t="s">
        <v>3441</v>
      </c>
      <c r="Y310" s="213" t="s">
        <v>4999</v>
      </c>
      <c r="Z310" s="213" t="s">
        <v>3470</v>
      </c>
      <c r="AA310" s="213">
        <v>75</v>
      </c>
      <c r="AB310" s="213">
        <v>85</v>
      </c>
      <c r="AC310" s="207" t="s">
        <v>4530</v>
      </c>
      <c r="AD310"/>
      <c r="AE310" s="206"/>
      <c r="AF310" s="94"/>
      <c r="AG310" s="94"/>
      <c r="AH310" s="94"/>
      <c r="AI310" s="94"/>
      <c r="AJ310" s="94"/>
      <c r="AK310" s="94"/>
      <c r="AL310" s="94"/>
      <c r="AM310" s="254"/>
      <c r="AN310" s="254"/>
      <c r="AO310" s="94"/>
      <c r="AP310" s="94"/>
      <c r="AQ310" s="94"/>
      <c r="AR310" s="94"/>
      <c r="AS310" s="207"/>
    </row>
    <row r="311" spans="13:45" ht="12.75">
      <c r="M311" s="104"/>
      <c r="O311" s="206" t="s">
        <v>1180</v>
      </c>
      <c r="P311" s="94" t="s">
        <v>2200</v>
      </c>
      <c r="Q311" s="180">
        <v>114682</v>
      </c>
      <c r="R311" s="258">
        <v>1250</v>
      </c>
      <c r="S311" s="259">
        <v>100</v>
      </c>
      <c r="T311" s="213" t="s">
        <v>5000</v>
      </c>
      <c r="U311" s="213">
        <v>3</v>
      </c>
      <c r="V311" s="213" t="s">
        <v>3443</v>
      </c>
      <c r="W311" s="213" t="s">
        <v>3572</v>
      </c>
      <c r="X311" s="213" t="s">
        <v>3441</v>
      </c>
      <c r="Y311" s="213" t="s">
        <v>4996</v>
      </c>
      <c r="Z311" s="213" t="s">
        <v>3470</v>
      </c>
      <c r="AA311" s="213">
        <v>75</v>
      </c>
      <c r="AB311" s="213">
        <v>85</v>
      </c>
      <c r="AC311" s="207" t="s">
        <v>4530</v>
      </c>
      <c r="AD311"/>
      <c r="AE311" s="206"/>
      <c r="AF311" s="94"/>
      <c r="AG311" s="94"/>
      <c r="AH311" s="94"/>
      <c r="AI311" s="94"/>
      <c r="AJ311" s="94"/>
      <c r="AK311" s="94"/>
      <c r="AL311" s="94"/>
      <c r="AM311" s="254"/>
      <c r="AN311" s="254"/>
      <c r="AO311" s="94"/>
      <c r="AP311" s="94"/>
      <c r="AQ311" s="94"/>
      <c r="AR311" s="94"/>
      <c r="AS311" s="207"/>
    </row>
    <row r="312" spans="13:45" ht="12.75">
      <c r="M312" s="104"/>
      <c r="O312" s="206" t="s">
        <v>1181</v>
      </c>
      <c r="P312" s="94" t="s">
        <v>2201</v>
      </c>
      <c r="Q312" s="180">
        <v>146109</v>
      </c>
      <c r="R312" s="258">
        <v>1250</v>
      </c>
      <c r="S312" s="259">
        <v>100</v>
      </c>
      <c r="T312" s="213" t="s">
        <v>5000</v>
      </c>
      <c r="U312" s="213">
        <v>3</v>
      </c>
      <c r="V312" s="213" t="s">
        <v>3443</v>
      </c>
      <c r="W312" s="213" t="s">
        <v>3572</v>
      </c>
      <c r="X312" s="213" t="s">
        <v>3445</v>
      </c>
      <c r="Y312" s="213" t="s">
        <v>4999</v>
      </c>
      <c r="Z312" s="213" t="s">
        <v>3470</v>
      </c>
      <c r="AA312" s="213">
        <v>75</v>
      </c>
      <c r="AB312" s="213">
        <v>85</v>
      </c>
      <c r="AC312" s="207" t="s">
        <v>4530</v>
      </c>
      <c r="AD312"/>
      <c r="AE312" s="206"/>
      <c r="AF312" s="94"/>
      <c r="AG312" s="94"/>
      <c r="AH312" s="94"/>
      <c r="AI312" s="94"/>
      <c r="AJ312" s="94"/>
      <c r="AK312" s="94"/>
      <c r="AL312" s="94"/>
      <c r="AM312" s="254"/>
      <c r="AN312" s="254"/>
      <c r="AO312" s="94"/>
      <c r="AP312" s="94"/>
      <c r="AQ312" s="94"/>
      <c r="AR312" s="94"/>
      <c r="AS312" s="207"/>
    </row>
    <row r="313" spans="13:45" ht="12.75">
      <c r="M313" s="104"/>
      <c r="O313" s="206" t="s">
        <v>1182</v>
      </c>
      <c r="P313" s="94" t="s">
        <v>374</v>
      </c>
      <c r="Q313" s="180">
        <v>138890</v>
      </c>
      <c r="R313" s="258">
        <v>1250</v>
      </c>
      <c r="S313" s="259">
        <v>100</v>
      </c>
      <c r="T313" s="213" t="s">
        <v>5000</v>
      </c>
      <c r="U313" s="213">
        <v>3</v>
      </c>
      <c r="V313" s="213" t="s">
        <v>3443</v>
      </c>
      <c r="W313" s="213" t="s">
        <v>3572</v>
      </c>
      <c r="X313" s="213" t="s">
        <v>3445</v>
      </c>
      <c r="Y313" s="213" t="s">
        <v>4996</v>
      </c>
      <c r="Z313" s="213" t="s">
        <v>3470</v>
      </c>
      <c r="AA313" s="213">
        <v>75</v>
      </c>
      <c r="AB313" s="213">
        <v>85</v>
      </c>
      <c r="AC313" s="207" t="s">
        <v>4530</v>
      </c>
      <c r="AD313"/>
      <c r="AE313" s="206"/>
      <c r="AF313" s="94"/>
      <c r="AG313" s="94"/>
      <c r="AH313" s="94"/>
      <c r="AI313" s="94"/>
      <c r="AJ313" s="94"/>
      <c r="AK313" s="94"/>
      <c r="AL313" s="94"/>
      <c r="AM313" s="254"/>
      <c r="AN313" s="254"/>
      <c r="AO313" s="94"/>
      <c r="AP313" s="94"/>
      <c r="AQ313" s="94"/>
      <c r="AR313" s="94"/>
      <c r="AS313" s="207"/>
    </row>
    <row r="314" spans="13:45" ht="12.75">
      <c r="M314" s="104"/>
      <c r="O314" s="206" t="s">
        <v>1183</v>
      </c>
      <c r="P314" s="94" t="s">
        <v>375</v>
      </c>
      <c r="Q314" s="180">
        <v>130060</v>
      </c>
      <c r="R314" s="258">
        <v>1600</v>
      </c>
      <c r="S314" s="259">
        <v>75</v>
      </c>
      <c r="T314" s="213" t="s">
        <v>5000</v>
      </c>
      <c r="U314" s="213">
        <v>3</v>
      </c>
      <c r="V314" s="213" t="s">
        <v>3443</v>
      </c>
      <c r="W314" s="213" t="s">
        <v>3572</v>
      </c>
      <c r="X314" s="213" t="s">
        <v>3441</v>
      </c>
      <c r="Y314" s="213" t="s">
        <v>4995</v>
      </c>
      <c r="Z314" s="213" t="s">
        <v>4549</v>
      </c>
      <c r="AA314" s="213">
        <v>75</v>
      </c>
      <c r="AB314" s="213">
        <v>75</v>
      </c>
      <c r="AC314" s="207" t="s">
        <v>4530</v>
      </c>
      <c r="AD314"/>
      <c r="AE314" s="206"/>
      <c r="AF314" s="94"/>
      <c r="AG314" s="94"/>
      <c r="AH314" s="94"/>
      <c r="AI314" s="94"/>
      <c r="AJ314" s="94"/>
      <c r="AK314" s="94"/>
      <c r="AL314" s="94"/>
      <c r="AM314" s="254"/>
      <c r="AN314" s="254"/>
      <c r="AO314" s="94"/>
      <c r="AP314" s="94"/>
      <c r="AQ314" s="94"/>
      <c r="AR314" s="94"/>
      <c r="AS314" s="207"/>
    </row>
    <row r="315" spans="13:45" ht="12.75">
      <c r="M315" s="104"/>
      <c r="O315" s="206" t="s">
        <v>1184</v>
      </c>
      <c r="P315" s="94" t="s">
        <v>376</v>
      </c>
      <c r="Q315" s="180">
        <v>142908</v>
      </c>
      <c r="R315" s="258">
        <v>1600</v>
      </c>
      <c r="S315" s="259">
        <v>75</v>
      </c>
      <c r="T315" s="213" t="s">
        <v>5000</v>
      </c>
      <c r="U315" s="213">
        <v>3</v>
      </c>
      <c r="V315" s="213" t="s">
        <v>3443</v>
      </c>
      <c r="W315" s="213" t="s">
        <v>3572</v>
      </c>
      <c r="X315" s="213" t="s">
        <v>3441</v>
      </c>
      <c r="Y315" s="213" t="s">
        <v>4999</v>
      </c>
      <c r="Z315" s="213" t="s">
        <v>4549</v>
      </c>
      <c r="AA315" s="213">
        <v>75</v>
      </c>
      <c r="AB315" s="213">
        <v>75</v>
      </c>
      <c r="AC315" s="207" t="s">
        <v>4530</v>
      </c>
      <c r="AD315"/>
      <c r="AE315" s="206"/>
      <c r="AF315" s="94"/>
      <c r="AG315" s="94"/>
      <c r="AH315" s="94"/>
      <c r="AI315" s="94"/>
      <c r="AJ315" s="94"/>
      <c r="AK315" s="94"/>
      <c r="AL315" s="94"/>
      <c r="AM315" s="254"/>
      <c r="AN315" s="254"/>
      <c r="AO315" s="94"/>
      <c r="AP315" s="94"/>
      <c r="AQ315" s="94"/>
      <c r="AR315" s="94"/>
      <c r="AS315" s="207"/>
    </row>
    <row r="316" spans="13:45" ht="12.75">
      <c r="M316" s="104"/>
      <c r="O316" s="206" t="s">
        <v>1185</v>
      </c>
      <c r="P316" s="94" t="s">
        <v>377</v>
      </c>
      <c r="Q316" s="180">
        <v>135692</v>
      </c>
      <c r="R316" s="258">
        <v>1600</v>
      </c>
      <c r="S316" s="259">
        <v>75</v>
      </c>
      <c r="T316" s="213" t="s">
        <v>5000</v>
      </c>
      <c r="U316" s="213">
        <v>3</v>
      </c>
      <c r="V316" s="213" t="s">
        <v>3443</v>
      </c>
      <c r="W316" s="213" t="s">
        <v>3572</v>
      </c>
      <c r="X316" s="213" t="s">
        <v>3441</v>
      </c>
      <c r="Y316" s="213" t="s">
        <v>4996</v>
      </c>
      <c r="Z316" s="213" t="s">
        <v>4549</v>
      </c>
      <c r="AA316" s="213">
        <v>75</v>
      </c>
      <c r="AB316" s="213">
        <v>75</v>
      </c>
      <c r="AC316" s="207" t="s">
        <v>4530</v>
      </c>
      <c r="AD316"/>
      <c r="AE316" s="206"/>
      <c r="AF316" s="94"/>
      <c r="AG316" s="94"/>
      <c r="AH316" s="94"/>
      <c r="AI316" s="94"/>
      <c r="AJ316" s="94"/>
      <c r="AK316" s="94"/>
      <c r="AL316" s="94"/>
      <c r="AM316" s="254"/>
      <c r="AN316" s="254"/>
      <c r="AO316" s="94"/>
      <c r="AP316" s="94"/>
      <c r="AQ316" s="94"/>
      <c r="AR316" s="94"/>
      <c r="AS316" s="207"/>
    </row>
    <row r="317" spans="13:45" ht="12.75">
      <c r="M317" s="104"/>
      <c r="O317" s="206" t="s">
        <v>1186</v>
      </c>
      <c r="P317" s="94" t="s">
        <v>378</v>
      </c>
      <c r="Q317" s="180">
        <v>167117</v>
      </c>
      <c r="R317" s="258">
        <v>1600</v>
      </c>
      <c r="S317" s="259">
        <v>75</v>
      </c>
      <c r="T317" s="213" t="s">
        <v>5000</v>
      </c>
      <c r="U317" s="213">
        <v>3</v>
      </c>
      <c r="V317" s="213" t="s">
        <v>3443</v>
      </c>
      <c r="W317" s="213" t="s">
        <v>3572</v>
      </c>
      <c r="X317" s="213" t="s">
        <v>3445</v>
      </c>
      <c r="Y317" s="213" t="s">
        <v>4999</v>
      </c>
      <c r="Z317" s="213" t="s">
        <v>4549</v>
      </c>
      <c r="AA317" s="213">
        <v>75</v>
      </c>
      <c r="AB317" s="213">
        <v>75</v>
      </c>
      <c r="AC317" s="207" t="s">
        <v>4530</v>
      </c>
      <c r="AD317"/>
      <c r="AE317" s="206"/>
      <c r="AF317" s="94"/>
      <c r="AG317" s="94"/>
      <c r="AH317" s="94"/>
      <c r="AI317" s="94"/>
      <c r="AJ317" s="94"/>
      <c r="AK317" s="94"/>
      <c r="AL317" s="94"/>
      <c r="AM317" s="254"/>
      <c r="AN317" s="254"/>
      <c r="AO317" s="94"/>
      <c r="AP317" s="94"/>
      <c r="AQ317" s="94"/>
      <c r="AR317" s="94"/>
      <c r="AS317" s="207"/>
    </row>
    <row r="318" spans="13:45" ht="12.75">
      <c r="M318" s="104"/>
      <c r="O318" s="206" t="s">
        <v>1187</v>
      </c>
      <c r="P318" s="94" t="s">
        <v>379</v>
      </c>
      <c r="Q318" s="180">
        <v>159901</v>
      </c>
      <c r="R318" s="258">
        <v>1600</v>
      </c>
      <c r="S318" s="259">
        <v>75</v>
      </c>
      <c r="T318" s="213" t="s">
        <v>5000</v>
      </c>
      <c r="U318" s="213">
        <v>3</v>
      </c>
      <c r="V318" s="213" t="s">
        <v>3443</v>
      </c>
      <c r="W318" s="213" t="s">
        <v>3572</v>
      </c>
      <c r="X318" s="213" t="s">
        <v>3445</v>
      </c>
      <c r="Y318" s="213" t="s">
        <v>4996</v>
      </c>
      <c r="Z318" s="213" t="s">
        <v>4549</v>
      </c>
      <c r="AA318" s="213">
        <v>75</v>
      </c>
      <c r="AB318" s="213">
        <v>75</v>
      </c>
      <c r="AC318" s="207" t="s">
        <v>4530</v>
      </c>
      <c r="AD318"/>
      <c r="AE318" s="206"/>
      <c r="AF318" s="94"/>
      <c r="AG318" s="94"/>
      <c r="AH318" s="94"/>
      <c r="AI318" s="94"/>
      <c r="AJ318" s="94"/>
      <c r="AK318" s="94"/>
      <c r="AL318" s="94"/>
      <c r="AM318" s="254"/>
      <c r="AN318" s="254"/>
      <c r="AO318" s="94"/>
      <c r="AP318" s="94"/>
      <c r="AQ318" s="94"/>
      <c r="AR318" s="94"/>
      <c r="AS318" s="207"/>
    </row>
    <row r="319" spans="13:45" ht="12.75">
      <c r="M319" s="104"/>
      <c r="O319" s="206" t="s">
        <v>1188</v>
      </c>
      <c r="P319" s="94" t="s">
        <v>380</v>
      </c>
      <c r="Q319" s="180">
        <v>139495</v>
      </c>
      <c r="R319" s="258">
        <v>1600</v>
      </c>
      <c r="S319" s="259">
        <v>100</v>
      </c>
      <c r="T319" s="213" t="s">
        <v>5000</v>
      </c>
      <c r="U319" s="213">
        <v>3</v>
      </c>
      <c r="V319" s="213" t="s">
        <v>3443</v>
      </c>
      <c r="W319" s="213" t="s">
        <v>3572</v>
      </c>
      <c r="X319" s="213" t="s">
        <v>3441</v>
      </c>
      <c r="Y319" s="213" t="s">
        <v>4995</v>
      </c>
      <c r="Z319" s="213" t="s">
        <v>3470</v>
      </c>
      <c r="AA319" s="213">
        <v>75</v>
      </c>
      <c r="AB319" s="213">
        <v>85</v>
      </c>
      <c r="AC319" s="207" t="s">
        <v>4530</v>
      </c>
      <c r="AD319"/>
      <c r="AE319" s="206"/>
      <c r="AF319" s="94"/>
      <c r="AG319" s="94"/>
      <c r="AH319" s="94"/>
      <c r="AI319" s="94"/>
      <c r="AJ319" s="94"/>
      <c r="AK319" s="94"/>
      <c r="AL319" s="94"/>
      <c r="AM319" s="254"/>
      <c r="AN319" s="254"/>
      <c r="AO319" s="94"/>
      <c r="AP319" s="94"/>
      <c r="AQ319" s="94"/>
      <c r="AR319" s="94"/>
      <c r="AS319" s="207"/>
    </row>
    <row r="320" spans="13:45" ht="12.75">
      <c r="M320" s="104"/>
      <c r="O320" s="206" t="s">
        <v>1189</v>
      </c>
      <c r="P320" s="94" t="s">
        <v>381</v>
      </c>
      <c r="Q320" s="180">
        <v>152343</v>
      </c>
      <c r="R320" s="258">
        <v>1600</v>
      </c>
      <c r="S320" s="259">
        <v>100</v>
      </c>
      <c r="T320" s="213" t="s">
        <v>5000</v>
      </c>
      <c r="U320" s="213">
        <v>3</v>
      </c>
      <c r="V320" s="213" t="s">
        <v>3443</v>
      </c>
      <c r="W320" s="213" t="s">
        <v>3572</v>
      </c>
      <c r="X320" s="213" t="s">
        <v>3441</v>
      </c>
      <c r="Y320" s="213" t="s">
        <v>4999</v>
      </c>
      <c r="Z320" s="213" t="s">
        <v>3470</v>
      </c>
      <c r="AA320" s="213">
        <v>75</v>
      </c>
      <c r="AB320" s="213">
        <v>85</v>
      </c>
      <c r="AC320" s="207" t="s">
        <v>4530</v>
      </c>
      <c r="AD320"/>
      <c r="AE320" s="206"/>
      <c r="AF320" s="94"/>
      <c r="AG320" s="94"/>
      <c r="AH320" s="94"/>
      <c r="AI320" s="94"/>
      <c r="AJ320" s="94"/>
      <c r="AK320" s="94"/>
      <c r="AL320" s="94"/>
      <c r="AM320" s="254"/>
      <c r="AN320" s="254"/>
      <c r="AO320" s="94"/>
      <c r="AP320" s="94"/>
      <c r="AQ320" s="94"/>
      <c r="AR320" s="94"/>
      <c r="AS320" s="207"/>
    </row>
    <row r="321" spans="13:45" ht="12.75">
      <c r="M321" s="104"/>
      <c r="O321" s="206" t="s">
        <v>1190</v>
      </c>
      <c r="P321" s="94" t="s">
        <v>382</v>
      </c>
      <c r="Q321" s="180">
        <v>145126</v>
      </c>
      <c r="R321" s="258">
        <v>1600</v>
      </c>
      <c r="S321" s="259">
        <v>100</v>
      </c>
      <c r="T321" s="213" t="s">
        <v>5000</v>
      </c>
      <c r="U321" s="213">
        <v>3</v>
      </c>
      <c r="V321" s="213" t="s">
        <v>3443</v>
      </c>
      <c r="W321" s="213" t="s">
        <v>3572</v>
      </c>
      <c r="X321" s="213" t="s">
        <v>3441</v>
      </c>
      <c r="Y321" s="213" t="s">
        <v>4996</v>
      </c>
      <c r="Z321" s="213" t="s">
        <v>3470</v>
      </c>
      <c r="AA321" s="213">
        <v>75</v>
      </c>
      <c r="AB321" s="213">
        <v>85</v>
      </c>
      <c r="AC321" s="207" t="s">
        <v>4530</v>
      </c>
      <c r="AD321"/>
      <c r="AE321" s="206"/>
      <c r="AF321" s="94"/>
      <c r="AG321" s="94"/>
      <c r="AH321" s="94"/>
      <c r="AI321" s="94"/>
      <c r="AJ321" s="94"/>
      <c r="AK321" s="94"/>
      <c r="AL321" s="94"/>
      <c r="AM321" s="254"/>
      <c r="AN321" s="254"/>
      <c r="AO321" s="94"/>
      <c r="AP321" s="94"/>
      <c r="AQ321" s="94"/>
      <c r="AR321" s="94"/>
      <c r="AS321" s="207"/>
    </row>
    <row r="322" spans="13:45" ht="12.75">
      <c r="M322" s="104"/>
      <c r="O322" s="206" t="s">
        <v>1191</v>
      </c>
      <c r="P322" s="94" t="s">
        <v>383</v>
      </c>
      <c r="Q322" s="180">
        <v>176551</v>
      </c>
      <c r="R322" s="258">
        <v>1600</v>
      </c>
      <c r="S322" s="259">
        <v>100</v>
      </c>
      <c r="T322" s="213" t="s">
        <v>5000</v>
      </c>
      <c r="U322" s="213">
        <v>3</v>
      </c>
      <c r="V322" s="213" t="s">
        <v>3443</v>
      </c>
      <c r="W322" s="213" t="s">
        <v>3572</v>
      </c>
      <c r="X322" s="213" t="s">
        <v>3445</v>
      </c>
      <c r="Y322" s="213" t="s">
        <v>4999</v>
      </c>
      <c r="Z322" s="213" t="s">
        <v>3470</v>
      </c>
      <c r="AA322" s="213">
        <v>75</v>
      </c>
      <c r="AB322" s="213">
        <v>85</v>
      </c>
      <c r="AC322" s="207" t="s">
        <v>4530</v>
      </c>
      <c r="AD322"/>
      <c r="AE322" s="206"/>
      <c r="AF322" s="94"/>
      <c r="AG322" s="94"/>
      <c r="AH322" s="94"/>
      <c r="AI322" s="94"/>
      <c r="AJ322" s="94"/>
      <c r="AK322" s="94"/>
      <c r="AL322" s="94"/>
      <c r="AM322" s="254"/>
      <c r="AN322" s="254"/>
      <c r="AO322" s="94"/>
      <c r="AP322" s="94"/>
      <c r="AQ322" s="94"/>
      <c r="AR322" s="94"/>
      <c r="AS322" s="207"/>
    </row>
    <row r="323" spans="13:45" ht="12.75">
      <c r="M323" s="104"/>
      <c r="O323" s="206" t="s">
        <v>1192</v>
      </c>
      <c r="P323" s="94" t="s">
        <v>384</v>
      </c>
      <c r="Q323" s="180">
        <v>169335</v>
      </c>
      <c r="R323" s="258">
        <v>1600</v>
      </c>
      <c r="S323" s="259">
        <v>100</v>
      </c>
      <c r="T323" s="213" t="s">
        <v>5000</v>
      </c>
      <c r="U323" s="213">
        <v>3</v>
      </c>
      <c r="V323" s="213" t="s">
        <v>3443</v>
      </c>
      <c r="W323" s="213" t="s">
        <v>3572</v>
      </c>
      <c r="X323" s="213" t="s">
        <v>3445</v>
      </c>
      <c r="Y323" s="213" t="s">
        <v>4996</v>
      </c>
      <c r="Z323" s="213" t="s">
        <v>3470</v>
      </c>
      <c r="AA323" s="213">
        <v>75</v>
      </c>
      <c r="AB323" s="213">
        <v>85</v>
      </c>
      <c r="AC323" s="207" t="s">
        <v>4530</v>
      </c>
      <c r="AD323"/>
      <c r="AE323" s="206"/>
      <c r="AF323" s="94"/>
      <c r="AG323" s="94"/>
      <c r="AH323" s="94"/>
      <c r="AI323" s="94"/>
      <c r="AJ323" s="94"/>
      <c r="AK323" s="94"/>
      <c r="AL323" s="94"/>
      <c r="AM323" s="254"/>
      <c r="AN323" s="254"/>
      <c r="AO323" s="94"/>
      <c r="AP323" s="94"/>
      <c r="AQ323" s="94"/>
      <c r="AR323" s="94"/>
      <c r="AS323" s="207"/>
    </row>
    <row r="324" spans="13:45" ht="12.75">
      <c r="M324" s="104"/>
      <c r="O324" s="206" t="s">
        <v>1193</v>
      </c>
      <c r="P324" s="94" t="s">
        <v>385</v>
      </c>
      <c r="Q324" s="180">
        <v>148501</v>
      </c>
      <c r="R324" s="258">
        <v>2000</v>
      </c>
      <c r="S324" s="259">
        <v>75</v>
      </c>
      <c r="T324" s="213" t="s">
        <v>5000</v>
      </c>
      <c r="U324" s="213">
        <v>3</v>
      </c>
      <c r="V324" s="213" t="s">
        <v>3443</v>
      </c>
      <c r="W324" s="213" t="s">
        <v>3572</v>
      </c>
      <c r="X324" s="213" t="s">
        <v>3441</v>
      </c>
      <c r="Y324" s="213" t="s">
        <v>4995</v>
      </c>
      <c r="Z324" s="213" t="s">
        <v>4549</v>
      </c>
      <c r="AA324" s="213">
        <v>75</v>
      </c>
      <c r="AB324" s="213">
        <v>75</v>
      </c>
      <c r="AC324" s="207" t="s">
        <v>4530</v>
      </c>
      <c r="AD324"/>
      <c r="AE324" s="206"/>
      <c r="AF324" s="94"/>
      <c r="AG324" s="94"/>
      <c r="AH324" s="94"/>
      <c r="AI324" s="94"/>
      <c r="AJ324" s="94"/>
      <c r="AK324" s="94"/>
      <c r="AL324" s="94"/>
      <c r="AM324" s="254"/>
      <c r="AN324" s="254"/>
      <c r="AO324" s="94"/>
      <c r="AP324" s="94"/>
      <c r="AQ324" s="94"/>
      <c r="AR324" s="94"/>
      <c r="AS324" s="207"/>
    </row>
    <row r="325" spans="13:45" ht="12.75">
      <c r="M325" s="104"/>
      <c r="O325" s="206" t="s">
        <v>1194</v>
      </c>
      <c r="P325" s="94" t="s">
        <v>386</v>
      </c>
      <c r="Q325" s="180">
        <v>161350</v>
      </c>
      <c r="R325" s="258">
        <v>2000</v>
      </c>
      <c r="S325" s="259">
        <v>75</v>
      </c>
      <c r="T325" s="213" t="s">
        <v>5000</v>
      </c>
      <c r="U325" s="213">
        <v>3</v>
      </c>
      <c r="V325" s="213" t="s">
        <v>3443</v>
      </c>
      <c r="W325" s="213" t="s">
        <v>3572</v>
      </c>
      <c r="X325" s="213" t="s">
        <v>3441</v>
      </c>
      <c r="Y325" s="213" t="s">
        <v>4999</v>
      </c>
      <c r="Z325" s="213" t="s">
        <v>4549</v>
      </c>
      <c r="AA325" s="213">
        <v>75</v>
      </c>
      <c r="AB325" s="213">
        <v>75</v>
      </c>
      <c r="AC325" s="207" t="s">
        <v>4530</v>
      </c>
      <c r="AD325"/>
      <c r="AE325" s="206"/>
      <c r="AF325" s="94"/>
      <c r="AG325" s="94"/>
      <c r="AH325" s="94"/>
      <c r="AI325" s="94"/>
      <c r="AJ325" s="94"/>
      <c r="AK325" s="94"/>
      <c r="AL325" s="94"/>
      <c r="AM325" s="254"/>
      <c r="AN325" s="254"/>
      <c r="AO325" s="94"/>
      <c r="AP325" s="94"/>
      <c r="AQ325" s="94"/>
      <c r="AR325" s="94"/>
      <c r="AS325" s="207"/>
    </row>
    <row r="326" spans="13:45" ht="12.75">
      <c r="M326" s="104"/>
      <c r="O326" s="206" t="s">
        <v>1195</v>
      </c>
      <c r="P326" s="94" t="s">
        <v>387</v>
      </c>
      <c r="Q326" s="180">
        <v>154131</v>
      </c>
      <c r="R326" s="258">
        <v>2000</v>
      </c>
      <c r="S326" s="259">
        <v>75</v>
      </c>
      <c r="T326" s="213" t="s">
        <v>5000</v>
      </c>
      <c r="U326" s="213">
        <v>3</v>
      </c>
      <c r="V326" s="213" t="s">
        <v>3443</v>
      </c>
      <c r="W326" s="213" t="s">
        <v>3572</v>
      </c>
      <c r="X326" s="213" t="s">
        <v>3441</v>
      </c>
      <c r="Y326" s="213" t="s">
        <v>4996</v>
      </c>
      <c r="Z326" s="213" t="s">
        <v>4549</v>
      </c>
      <c r="AA326" s="213">
        <v>75</v>
      </c>
      <c r="AB326" s="213">
        <v>75</v>
      </c>
      <c r="AC326" s="207" t="s">
        <v>4530</v>
      </c>
      <c r="AD326"/>
      <c r="AE326" s="206"/>
      <c r="AF326" s="94"/>
      <c r="AG326" s="94"/>
      <c r="AH326" s="94"/>
      <c r="AI326" s="94"/>
      <c r="AJ326" s="94"/>
      <c r="AK326" s="94"/>
      <c r="AL326" s="94"/>
      <c r="AM326" s="254"/>
      <c r="AN326" s="254"/>
      <c r="AO326" s="94"/>
      <c r="AP326" s="94"/>
      <c r="AQ326" s="94"/>
      <c r="AR326" s="94"/>
      <c r="AS326" s="207"/>
    </row>
    <row r="327" spans="13:45" ht="12.75">
      <c r="M327" s="104"/>
      <c r="O327" s="206" t="s">
        <v>1196</v>
      </c>
      <c r="P327" s="94" t="s">
        <v>388</v>
      </c>
      <c r="Q327" s="180">
        <v>185559</v>
      </c>
      <c r="R327" s="258">
        <v>2000</v>
      </c>
      <c r="S327" s="259">
        <v>75</v>
      </c>
      <c r="T327" s="213" t="s">
        <v>5000</v>
      </c>
      <c r="U327" s="213">
        <v>3</v>
      </c>
      <c r="V327" s="213" t="s">
        <v>3443</v>
      </c>
      <c r="W327" s="213" t="s">
        <v>3572</v>
      </c>
      <c r="X327" s="213" t="s">
        <v>3445</v>
      </c>
      <c r="Y327" s="213" t="s">
        <v>4999</v>
      </c>
      <c r="Z327" s="213" t="s">
        <v>4549</v>
      </c>
      <c r="AA327" s="213">
        <v>75</v>
      </c>
      <c r="AB327" s="213">
        <v>75</v>
      </c>
      <c r="AC327" s="207" t="s">
        <v>4530</v>
      </c>
      <c r="AD327"/>
      <c r="AE327" s="206"/>
      <c r="AF327" s="94"/>
      <c r="AG327" s="94"/>
      <c r="AH327" s="94"/>
      <c r="AI327" s="94"/>
      <c r="AJ327" s="94"/>
      <c r="AK327" s="94"/>
      <c r="AL327" s="94"/>
      <c r="AM327" s="254"/>
      <c r="AN327" s="254"/>
      <c r="AO327" s="94"/>
      <c r="AP327" s="94"/>
      <c r="AQ327" s="94"/>
      <c r="AR327" s="94"/>
      <c r="AS327" s="207"/>
    </row>
    <row r="328" spans="13:45" ht="12.75">
      <c r="M328" s="104"/>
      <c r="O328" s="206" t="s">
        <v>1197</v>
      </c>
      <c r="P328" s="94" t="s">
        <v>389</v>
      </c>
      <c r="Q328" s="180">
        <v>178340</v>
      </c>
      <c r="R328" s="258">
        <v>2000</v>
      </c>
      <c r="S328" s="259">
        <v>75</v>
      </c>
      <c r="T328" s="213" t="s">
        <v>5000</v>
      </c>
      <c r="U328" s="213">
        <v>3</v>
      </c>
      <c r="V328" s="213" t="s">
        <v>3443</v>
      </c>
      <c r="W328" s="213" t="s">
        <v>3572</v>
      </c>
      <c r="X328" s="213" t="s">
        <v>3445</v>
      </c>
      <c r="Y328" s="213" t="s">
        <v>4996</v>
      </c>
      <c r="Z328" s="213" t="s">
        <v>4549</v>
      </c>
      <c r="AA328" s="213">
        <v>75</v>
      </c>
      <c r="AB328" s="213">
        <v>75</v>
      </c>
      <c r="AC328" s="207" t="s">
        <v>4530</v>
      </c>
      <c r="AD328"/>
      <c r="AE328" s="206"/>
      <c r="AF328" s="94"/>
      <c r="AG328" s="94"/>
      <c r="AH328" s="94"/>
      <c r="AI328" s="94"/>
      <c r="AJ328" s="94"/>
      <c r="AK328" s="94"/>
      <c r="AL328" s="94"/>
      <c r="AM328" s="254"/>
      <c r="AN328" s="254"/>
      <c r="AO328" s="94"/>
      <c r="AP328" s="94"/>
      <c r="AQ328" s="94"/>
      <c r="AR328" s="94"/>
      <c r="AS328" s="207"/>
    </row>
    <row r="329" spans="13:45" ht="12.75">
      <c r="M329" s="104"/>
      <c r="O329" s="206" t="s">
        <v>1198</v>
      </c>
      <c r="P329" s="94" t="s">
        <v>390</v>
      </c>
      <c r="Q329" s="180">
        <v>155177</v>
      </c>
      <c r="R329" s="258">
        <v>2000</v>
      </c>
      <c r="S329" s="259">
        <v>100</v>
      </c>
      <c r="T329" s="213" t="s">
        <v>5000</v>
      </c>
      <c r="U329" s="213">
        <v>3</v>
      </c>
      <c r="V329" s="213" t="s">
        <v>3443</v>
      </c>
      <c r="W329" s="213" t="s">
        <v>3572</v>
      </c>
      <c r="X329" s="213" t="s">
        <v>3441</v>
      </c>
      <c r="Y329" s="213" t="s">
        <v>4995</v>
      </c>
      <c r="Z329" s="213" t="s">
        <v>3470</v>
      </c>
      <c r="AA329" s="213">
        <v>75</v>
      </c>
      <c r="AB329" s="213">
        <v>85</v>
      </c>
      <c r="AC329" s="207" t="s">
        <v>4530</v>
      </c>
      <c r="AD329"/>
      <c r="AE329" s="206"/>
      <c r="AF329" s="94"/>
      <c r="AG329" s="94"/>
      <c r="AH329" s="94"/>
      <c r="AI329" s="94"/>
      <c r="AJ329" s="94"/>
      <c r="AK329" s="94"/>
      <c r="AL329" s="94"/>
      <c r="AM329" s="254"/>
      <c r="AN329" s="254"/>
      <c r="AO329" s="94"/>
      <c r="AP329" s="94"/>
      <c r="AQ329" s="94"/>
      <c r="AR329" s="94"/>
      <c r="AS329" s="207"/>
    </row>
    <row r="330" spans="13:45" ht="12.75">
      <c r="M330" s="104"/>
      <c r="O330" s="206" t="s">
        <v>1199</v>
      </c>
      <c r="P330" s="94" t="s">
        <v>391</v>
      </c>
      <c r="Q330" s="180">
        <v>168025</v>
      </c>
      <c r="R330" s="258">
        <v>2000</v>
      </c>
      <c r="S330" s="259">
        <v>100</v>
      </c>
      <c r="T330" s="213" t="s">
        <v>5000</v>
      </c>
      <c r="U330" s="213">
        <v>3</v>
      </c>
      <c r="V330" s="213" t="s">
        <v>3443</v>
      </c>
      <c r="W330" s="213" t="s">
        <v>3572</v>
      </c>
      <c r="X330" s="213" t="s">
        <v>3441</v>
      </c>
      <c r="Y330" s="213" t="s">
        <v>4999</v>
      </c>
      <c r="Z330" s="213" t="s">
        <v>3470</v>
      </c>
      <c r="AA330" s="213">
        <v>75</v>
      </c>
      <c r="AB330" s="213">
        <v>85</v>
      </c>
      <c r="AC330" s="207" t="s">
        <v>4530</v>
      </c>
      <c r="AD330"/>
      <c r="AE330" s="206"/>
      <c r="AF330" s="94"/>
      <c r="AG330" s="94"/>
      <c r="AH330" s="94"/>
      <c r="AI330" s="94"/>
      <c r="AJ330" s="94"/>
      <c r="AK330" s="94"/>
      <c r="AL330" s="94"/>
      <c r="AM330" s="254"/>
      <c r="AN330" s="254"/>
      <c r="AO330" s="94"/>
      <c r="AP330" s="94"/>
      <c r="AQ330" s="94"/>
      <c r="AR330" s="94"/>
      <c r="AS330" s="207"/>
    </row>
    <row r="331" spans="13:45" ht="12.75">
      <c r="M331" s="104"/>
      <c r="O331" s="206" t="s">
        <v>1200</v>
      </c>
      <c r="P331" s="94" t="s">
        <v>392</v>
      </c>
      <c r="Q331" s="180">
        <v>160807</v>
      </c>
      <c r="R331" s="258">
        <v>2000</v>
      </c>
      <c r="S331" s="259">
        <v>100</v>
      </c>
      <c r="T331" s="213" t="s">
        <v>5000</v>
      </c>
      <c r="U331" s="213">
        <v>3</v>
      </c>
      <c r="V331" s="213" t="s">
        <v>3443</v>
      </c>
      <c r="W331" s="213" t="s">
        <v>3572</v>
      </c>
      <c r="X331" s="213" t="s">
        <v>3441</v>
      </c>
      <c r="Y331" s="213" t="s">
        <v>4996</v>
      </c>
      <c r="Z331" s="213" t="s">
        <v>3470</v>
      </c>
      <c r="AA331" s="213">
        <v>75</v>
      </c>
      <c r="AB331" s="213">
        <v>85</v>
      </c>
      <c r="AC331" s="207" t="s">
        <v>4530</v>
      </c>
      <c r="AD331"/>
      <c r="AE331" s="206"/>
      <c r="AF331" s="94"/>
      <c r="AG331" s="94"/>
      <c r="AH331" s="94"/>
      <c r="AI331" s="94"/>
      <c r="AJ331" s="94"/>
      <c r="AK331" s="94"/>
      <c r="AL331" s="94"/>
      <c r="AM331" s="254"/>
      <c r="AN331" s="254"/>
      <c r="AO331" s="94"/>
      <c r="AP331" s="94"/>
      <c r="AQ331" s="94"/>
      <c r="AR331" s="94"/>
      <c r="AS331" s="207"/>
    </row>
    <row r="332" spans="13:45" ht="12.75">
      <c r="M332" s="104"/>
      <c r="O332" s="206" t="s">
        <v>1201</v>
      </c>
      <c r="P332" s="94" t="s">
        <v>393</v>
      </c>
      <c r="Q332" s="180">
        <v>192233</v>
      </c>
      <c r="R332" s="258">
        <v>2000</v>
      </c>
      <c r="S332" s="259">
        <v>100</v>
      </c>
      <c r="T332" s="213" t="s">
        <v>5000</v>
      </c>
      <c r="U332" s="213">
        <v>3</v>
      </c>
      <c r="V332" s="213" t="s">
        <v>3443</v>
      </c>
      <c r="W332" s="213" t="s">
        <v>3572</v>
      </c>
      <c r="X332" s="213" t="s">
        <v>3445</v>
      </c>
      <c r="Y332" s="213" t="s">
        <v>4999</v>
      </c>
      <c r="Z332" s="213" t="s">
        <v>3470</v>
      </c>
      <c r="AA332" s="213">
        <v>75</v>
      </c>
      <c r="AB332" s="213">
        <v>85</v>
      </c>
      <c r="AC332" s="207" t="s">
        <v>4530</v>
      </c>
      <c r="AD332"/>
      <c r="AE332" s="206"/>
      <c r="AF332" s="94"/>
      <c r="AG332" s="94"/>
      <c r="AH332" s="94"/>
      <c r="AI332" s="94"/>
      <c r="AJ332" s="94"/>
      <c r="AK332" s="94"/>
      <c r="AL332" s="94"/>
      <c r="AM332" s="254"/>
      <c r="AN332" s="254"/>
      <c r="AO332" s="94"/>
      <c r="AP332" s="94"/>
      <c r="AQ332" s="94"/>
      <c r="AR332" s="94"/>
      <c r="AS332" s="207"/>
    </row>
    <row r="333" spans="13:45" ht="12.75">
      <c r="M333" s="104"/>
      <c r="O333" s="206" t="s">
        <v>1202</v>
      </c>
      <c r="P333" s="94" t="s">
        <v>394</v>
      </c>
      <c r="Q333" s="180">
        <v>185015</v>
      </c>
      <c r="R333" s="258">
        <v>2000</v>
      </c>
      <c r="S333" s="259">
        <v>100</v>
      </c>
      <c r="T333" s="213" t="s">
        <v>5000</v>
      </c>
      <c r="U333" s="213">
        <v>3</v>
      </c>
      <c r="V333" s="213" t="s">
        <v>3443</v>
      </c>
      <c r="W333" s="213" t="s">
        <v>3572</v>
      </c>
      <c r="X333" s="213" t="s">
        <v>3445</v>
      </c>
      <c r="Y333" s="213" t="s">
        <v>4996</v>
      </c>
      <c r="Z333" s="213" t="s">
        <v>3470</v>
      </c>
      <c r="AA333" s="213">
        <v>75</v>
      </c>
      <c r="AB333" s="213">
        <v>85</v>
      </c>
      <c r="AC333" s="207" t="s">
        <v>4530</v>
      </c>
      <c r="AD333"/>
      <c r="AE333" s="206"/>
      <c r="AF333" s="94"/>
      <c r="AG333" s="94"/>
      <c r="AH333" s="94"/>
      <c r="AI333" s="94"/>
      <c r="AJ333" s="94"/>
      <c r="AK333" s="94"/>
      <c r="AL333" s="94"/>
      <c r="AM333" s="254"/>
      <c r="AN333" s="254"/>
      <c r="AO333" s="94"/>
      <c r="AP333" s="94"/>
      <c r="AQ333" s="94"/>
      <c r="AR333" s="94"/>
      <c r="AS333" s="207"/>
    </row>
    <row r="334" spans="13:45" ht="12.75">
      <c r="M334" s="104"/>
      <c r="O334" s="206" t="s">
        <v>1203</v>
      </c>
      <c r="P334" s="94" t="s">
        <v>395</v>
      </c>
      <c r="Q334" s="180">
        <v>184248</v>
      </c>
      <c r="R334" s="258">
        <v>2000</v>
      </c>
      <c r="S334" s="259" t="s">
        <v>5004</v>
      </c>
      <c r="T334" s="213" t="s">
        <v>5000</v>
      </c>
      <c r="U334" s="213">
        <v>3</v>
      </c>
      <c r="V334" s="213" t="s">
        <v>3443</v>
      </c>
      <c r="W334" s="213" t="s">
        <v>3572</v>
      </c>
      <c r="X334" s="213" t="s">
        <v>3441</v>
      </c>
      <c r="Y334" s="213" t="s">
        <v>4995</v>
      </c>
      <c r="Z334" s="213" t="s">
        <v>3125</v>
      </c>
      <c r="AA334" s="213">
        <v>15</v>
      </c>
      <c r="AB334" s="213">
        <v>130</v>
      </c>
      <c r="AC334" s="207" t="s">
        <v>3651</v>
      </c>
      <c r="AD334"/>
      <c r="AE334" s="206"/>
      <c r="AF334" s="94"/>
      <c r="AG334" s="94"/>
      <c r="AH334" s="94"/>
      <c r="AI334" s="94"/>
      <c r="AJ334" s="94"/>
      <c r="AK334" s="94"/>
      <c r="AL334" s="94"/>
      <c r="AM334" s="254"/>
      <c r="AN334" s="254"/>
      <c r="AO334" s="94"/>
      <c r="AP334" s="94"/>
      <c r="AQ334" s="94"/>
      <c r="AR334" s="94"/>
      <c r="AS334" s="207"/>
    </row>
    <row r="335" spans="13:45" ht="12.75">
      <c r="M335" s="104"/>
      <c r="O335" s="206" t="s">
        <v>1204</v>
      </c>
      <c r="P335" s="94" t="s">
        <v>396</v>
      </c>
      <c r="Q335" s="180">
        <v>197096</v>
      </c>
      <c r="R335" s="258">
        <v>2000</v>
      </c>
      <c r="S335" s="259" t="s">
        <v>5004</v>
      </c>
      <c r="T335" s="213" t="s">
        <v>5000</v>
      </c>
      <c r="U335" s="213">
        <v>3</v>
      </c>
      <c r="V335" s="213" t="s">
        <v>3443</v>
      </c>
      <c r="W335" s="213" t="s">
        <v>3572</v>
      </c>
      <c r="X335" s="213" t="s">
        <v>3441</v>
      </c>
      <c r="Y335" s="213" t="s">
        <v>4999</v>
      </c>
      <c r="Z335" s="213" t="s">
        <v>3125</v>
      </c>
      <c r="AA335" s="213">
        <v>15</v>
      </c>
      <c r="AB335" s="213">
        <v>130</v>
      </c>
      <c r="AC335" s="207" t="s">
        <v>3651</v>
      </c>
      <c r="AD335"/>
      <c r="AE335" s="206"/>
      <c r="AF335" s="94"/>
      <c r="AG335" s="94"/>
      <c r="AH335" s="94"/>
      <c r="AI335" s="94"/>
      <c r="AJ335" s="94"/>
      <c r="AK335" s="94"/>
      <c r="AL335" s="94"/>
      <c r="AM335" s="254"/>
      <c r="AN335" s="254"/>
      <c r="AO335" s="94"/>
      <c r="AP335" s="94"/>
      <c r="AQ335" s="94"/>
      <c r="AR335" s="94"/>
      <c r="AS335" s="207"/>
    </row>
    <row r="336" spans="13:45" ht="12.75">
      <c r="M336" s="104"/>
      <c r="O336" s="206" t="s">
        <v>1205</v>
      </c>
      <c r="P336" s="94" t="s">
        <v>397</v>
      </c>
      <c r="Q336" s="180">
        <v>189879</v>
      </c>
      <c r="R336" s="258">
        <v>2000</v>
      </c>
      <c r="S336" s="259" t="s">
        <v>5004</v>
      </c>
      <c r="T336" s="213" t="s">
        <v>5000</v>
      </c>
      <c r="U336" s="213">
        <v>3</v>
      </c>
      <c r="V336" s="213" t="s">
        <v>3443</v>
      </c>
      <c r="W336" s="213" t="s">
        <v>3572</v>
      </c>
      <c r="X336" s="213" t="s">
        <v>3441</v>
      </c>
      <c r="Y336" s="213" t="s">
        <v>4996</v>
      </c>
      <c r="Z336" s="213" t="s">
        <v>3125</v>
      </c>
      <c r="AA336" s="213">
        <v>15</v>
      </c>
      <c r="AB336" s="213">
        <v>130</v>
      </c>
      <c r="AC336" s="207" t="s">
        <v>3651</v>
      </c>
      <c r="AD336"/>
      <c r="AE336" s="206"/>
      <c r="AF336" s="94"/>
      <c r="AG336" s="94"/>
      <c r="AH336" s="94"/>
      <c r="AI336" s="94"/>
      <c r="AJ336" s="94"/>
      <c r="AK336" s="94"/>
      <c r="AL336" s="94"/>
      <c r="AM336" s="254"/>
      <c r="AN336" s="254"/>
      <c r="AO336" s="94"/>
      <c r="AP336" s="94"/>
      <c r="AQ336" s="94"/>
      <c r="AR336" s="94"/>
      <c r="AS336" s="207"/>
    </row>
    <row r="337" spans="13:45" ht="12.75">
      <c r="M337" s="104"/>
      <c r="O337" s="206" t="s">
        <v>1206</v>
      </c>
      <c r="P337" s="94" t="s">
        <v>398</v>
      </c>
      <c r="Q337" s="180">
        <v>221306</v>
      </c>
      <c r="R337" s="258">
        <v>2000</v>
      </c>
      <c r="S337" s="259" t="s">
        <v>5004</v>
      </c>
      <c r="T337" s="213" t="s">
        <v>5000</v>
      </c>
      <c r="U337" s="213">
        <v>3</v>
      </c>
      <c r="V337" s="213" t="s">
        <v>3443</v>
      </c>
      <c r="W337" s="213" t="s">
        <v>3572</v>
      </c>
      <c r="X337" s="213" t="s">
        <v>3445</v>
      </c>
      <c r="Y337" s="213" t="s">
        <v>4999</v>
      </c>
      <c r="Z337" s="213" t="s">
        <v>3125</v>
      </c>
      <c r="AA337" s="213">
        <v>15</v>
      </c>
      <c r="AB337" s="213">
        <v>130</v>
      </c>
      <c r="AC337" s="207" t="s">
        <v>3651</v>
      </c>
      <c r="AD337"/>
      <c r="AE337" s="206"/>
      <c r="AF337" s="94"/>
      <c r="AG337" s="94"/>
      <c r="AH337" s="94"/>
      <c r="AI337" s="94"/>
      <c r="AJ337" s="94"/>
      <c r="AK337" s="94"/>
      <c r="AL337" s="94"/>
      <c r="AM337" s="254"/>
      <c r="AN337" s="254"/>
      <c r="AO337" s="94"/>
      <c r="AP337" s="94"/>
      <c r="AQ337" s="94"/>
      <c r="AR337" s="94"/>
      <c r="AS337" s="207"/>
    </row>
    <row r="338" spans="13:45" ht="12.75">
      <c r="M338" s="104"/>
      <c r="O338" s="206" t="s">
        <v>1207</v>
      </c>
      <c r="P338" s="94" t="s">
        <v>399</v>
      </c>
      <c r="Q338" s="180">
        <v>214086</v>
      </c>
      <c r="R338" s="258">
        <v>2000</v>
      </c>
      <c r="S338" s="259" t="s">
        <v>5004</v>
      </c>
      <c r="T338" s="213" t="s">
        <v>5000</v>
      </c>
      <c r="U338" s="213">
        <v>3</v>
      </c>
      <c r="V338" s="213" t="s">
        <v>3443</v>
      </c>
      <c r="W338" s="213" t="s">
        <v>3572</v>
      </c>
      <c r="X338" s="213" t="s">
        <v>3445</v>
      </c>
      <c r="Y338" s="213" t="s">
        <v>4996</v>
      </c>
      <c r="Z338" s="213" t="s">
        <v>3125</v>
      </c>
      <c r="AA338" s="213">
        <v>15</v>
      </c>
      <c r="AB338" s="213">
        <v>130</v>
      </c>
      <c r="AC338" s="207" t="s">
        <v>3651</v>
      </c>
      <c r="AD338"/>
      <c r="AE338" s="206"/>
      <c r="AF338" s="94"/>
      <c r="AG338" s="94"/>
      <c r="AH338" s="94"/>
      <c r="AI338" s="94"/>
      <c r="AJ338" s="94"/>
      <c r="AK338" s="94"/>
      <c r="AL338" s="94"/>
      <c r="AM338" s="254"/>
      <c r="AN338" s="254"/>
      <c r="AO338" s="94"/>
      <c r="AP338" s="94"/>
      <c r="AQ338" s="94"/>
      <c r="AR338" s="94"/>
      <c r="AS338" s="207"/>
    </row>
    <row r="339" spans="13:45" ht="12.75">
      <c r="M339" s="104"/>
      <c r="O339" s="206" t="s">
        <v>1208</v>
      </c>
      <c r="P339" s="94" t="s">
        <v>400</v>
      </c>
      <c r="Q339" s="180">
        <v>166489</v>
      </c>
      <c r="R339" s="258">
        <v>2500</v>
      </c>
      <c r="S339" s="259">
        <v>65</v>
      </c>
      <c r="T339" s="213" t="s">
        <v>5000</v>
      </c>
      <c r="U339" s="213">
        <v>3</v>
      </c>
      <c r="V339" s="213" t="s">
        <v>3443</v>
      </c>
      <c r="W339" s="213" t="s">
        <v>3572</v>
      </c>
      <c r="X339" s="213" t="s">
        <v>3441</v>
      </c>
      <c r="Y339" s="213" t="s">
        <v>4995</v>
      </c>
      <c r="Z339" s="213" t="s">
        <v>3356</v>
      </c>
      <c r="AA339" s="213">
        <v>65</v>
      </c>
      <c r="AB339" s="213">
        <v>65</v>
      </c>
      <c r="AC339" s="207" t="s">
        <v>4530</v>
      </c>
      <c r="AD339"/>
      <c r="AE339" s="206"/>
      <c r="AF339" s="94"/>
      <c r="AG339" s="94"/>
      <c r="AH339" s="94"/>
      <c r="AI339" s="94"/>
      <c r="AJ339" s="94"/>
      <c r="AK339" s="94"/>
      <c r="AL339" s="94"/>
      <c r="AM339" s="254"/>
      <c r="AN339" s="254"/>
      <c r="AO339" s="94"/>
      <c r="AP339" s="94"/>
      <c r="AQ339" s="94"/>
      <c r="AR339" s="94"/>
      <c r="AS339" s="207"/>
    </row>
    <row r="340" spans="13:45" ht="12.75">
      <c r="M340" s="104"/>
      <c r="O340" s="206" t="s">
        <v>1209</v>
      </c>
      <c r="P340" s="94" t="s">
        <v>401</v>
      </c>
      <c r="Q340" s="180">
        <v>179336</v>
      </c>
      <c r="R340" s="258">
        <v>2500</v>
      </c>
      <c r="S340" s="259">
        <v>65</v>
      </c>
      <c r="T340" s="213" t="s">
        <v>5000</v>
      </c>
      <c r="U340" s="213">
        <v>3</v>
      </c>
      <c r="V340" s="213" t="s">
        <v>3443</v>
      </c>
      <c r="W340" s="213" t="s">
        <v>3572</v>
      </c>
      <c r="X340" s="213" t="s">
        <v>3441</v>
      </c>
      <c r="Y340" s="213" t="s">
        <v>4999</v>
      </c>
      <c r="Z340" s="213" t="s">
        <v>3356</v>
      </c>
      <c r="AA340" s="213">
        <v>65</v>
      </c>
      <c r="AB340" s="213">
        <v>65</v>
      </c>
      <c r="AC340" s="207" t="s">
        <v>4530</v>
      </c>
      <c r="AD340"/>
      <c r="AE340" s="206"/>
      <c r="AF340" s="94"/>
      <c r="AG340" s="94"/>
      <c r="AH340" s="94"/>
      <c r="AI340" s="94"/>
      <c r="AJ340" s="94"/>
      <c r="AK340" s="94"/>
      <c r="AL340" s="94"/>
      <c r="AM340" s="254"/>
      <c r="AN340" s="254"/>
      <c r="AO340" s="94"/>
      <c r="AP340" s="94"/>
      <c r="AQ340" s="94"/>
      <c r="AR340" s="94"/>
      <c r="AS340" s="207"/>
    </row>
    <row r="341" spans="13:45" ht="12.75">
      <c r="M341" s="104"/>
      <c r="O341" s="206" t="s">
        <v>1210</v>
      </c>
      <c r="P341" s="94" t="s">
        <v>402</v>
      </c>
      <c r="Q341" s="180">
        <v>172119</v>
      </c>
      <c r="R341" s="258">
        <v>2500</v>
      </c>
      <c r="S341" s="259">
        <v>65</v>
      </c>
      <c r="T341" s="213" t="s">
        <v>5000</v>
      </c>
      <c r="U341" s="213">
        <v>3</v>
      </c>
      <c r="V341" s="213" t="s">
        <v>3443</v>
      </c>
      <c r="W341" s="213" t="s">
        <v>3572</v>
      </c>
      <c r="X341" s="213" t="s">
        <v>3441</v>
      </c>
      <c r="Y341" s="213" t="s">
        <v>4996</v>
      </c>
      <c r="Z341" s="213" t="s">
        <v>3356</v>
      </c>
      <c r="AA341" s="213">
        <v>65</v>
      </c>
      <c r="AB341" s="213">
        <v>65</v>
      </c>
      <c r="AC341" s="207" t="s">
        <v>4530</v>
      </c>
      <c r="AD341"/>
      <c r="AE341" s="206"/>
      <c r="AF341" s="94"/>
      <c r="AG341" s="94"/>
      <c r="AH341" s="94"/>
      <c r="AI341" s="94"/>
      <c r="AJ341" s="94"/>
      <c r="AK341" s="94"/>
      <c r="AL341" s="94"/>
      <c r="AM341" s="254"/>
      <c r="AN341" s="254"/>
      <c r="AO341" s="94"/>
      <c r="AP341" s="94"/>
      <c r="AQ341" s="94"/>
      <c r="AR341" s="94"/>
      <c r="AS341" s="207"/>
    </row>
    <row r="342" spans="13:45" ht="12.75">
      <c r="M342" s="104"/>
      <c r="O342" s="206" t="s">
        <v>1211</v>
      </c>
      <c r="P342" s="94" t="s">
        <v>403</v>
      </c>
      <c r="Q342" s="180">
        <v>203544</v>
      </c>
      <c r="R342" s="258">
        <v>2500</v>
      </c>
      <c r="S342" s="259">
        <v>65</v>
      </c>
      <c r="T342" s="213" t="s">
        <v>5000</v>
      </c>
      <c r="U342" s="213">
        <v>3</v>
      </c>
      <c r="V342" s="213" t="s">
        <v>3443</v>
      </c>
      <c r="W342" s="213" t="s">
        <v>3572</v>
      </c>
      <c r="X342" s="213" t="s">
        <v>3445</v>
      </c>
      <c r="Y342" s="213" t="s">
        <v>4999</v>
      </c>
      <c r="Z342" s="213" t="s">
        <v>3356</v>
      </c>
      <c r="AA342" s="213">
        <v>65</v>
      </c>
      <c r="AB342" s="213">
        <v>65</v>
      </c>
      <c r="AC342" s="207" t="s">
        <v>4530</v>
      </c>
      <c r="AD342"/>
      <c r="AE342" s="206"/>
      <c r="AF342" s="94"/>
      <c r="AG342" s="94"/>
      <c r="AH342" s="94"/>
      <c r="AI342" s="94"/>
      <c r="AJ342" s="94"/>
      <c r="AK342" s="94"/>
      <c r="AL342" s="94"/>
      <c r="AM342" s="254"/>
      <c r="AN342" s="254"/>
      <c r="AO342" s="94"/>
      <c r="AP342" s="94"/>
      <c r="AQ342" s="94"/>
      <c r="AR342" s="94"/>
      <c r="AS342" s="207"/>
    </row>
    <row r="343" spans="13:45" ht="12.75">
      <c r="M343" s="104"/>
      <c r="O343" s="206" t="s">
        <v>1212</v>
      </c>
      <c r="P343" s="94" t="s">
        <v>404</v>
      </c>
      <c r="Q343" s="180">
        <v>196329</v>
      </c>
      <c r="R343" s="258">
        <v>2500</v>
      </c>
      <c r="S343" s="259">
        <v>65</v>
      </c>
      <c r="T343" s="213" t="s">
        <v>5000</v>
      </c>
      <c r="U343" s="213">
        <v>3</v>
      </c>
      <c r="V343" s="213" t="s">
        <v>3443</v>
      </c>
      <c r="W343" s="213" t="s">
        <v>3572</v>
      </c>
      <c r="X343" s="213" t="s">
        <v>3445</v>
      </c>
      <c r="Y343" s="213" t="s">
        <v>4996</v>
      </c>
      <c r="Z343" s="213" t="s">
        <v>3356</v>
      </c>
      <c r="AA343" s="213">
        <v>65</v>
      </c>
      <c r="AB343" s="213">
        <v>65</v>
      </c>
      <c r="AC343" s="207" t="s">
        <v>4530</v>
      </c>
      <c r="AD343"/>
      <c r="AE343" s="206"/>
      <c r="AF343" s="94"/>
      <c r="AG343" s="94"/>
      <c r="AH343" s="94"/>
      <c r="AI343" s="94"/>
      <c r="AJ343" s="94"/>
      <c r="AK343" s="94"/>
      <c r="AL343" s="94"/>
      <c r="AM343" s="254"/>
      <c r="AN343" s="254"/>
      <c r="AO343" s="94"/>
      <c r="AP343" s="94"/>
      <c r="AQ343" s="94"/>
      <c r="AR343" s="94"/>
      <c r="AS343" s="207"/>
    </row>
    <row r="344" spans="13:45" ht="12.75">
      <c r="M344" s="104"/>
      <c r="O344" s="206" t="s">
        <v>1213</v>
      </c>
      <c r="P344" s="94" t="s">
        <v>405</v>
      </c>
      <c r="Q344" s="180">
        <v>195862</v>
      </c>
      <c r="R344" s="258">
        <v>2500</v>
      </c>
      <c r="S344" s="259">
        <v>75</v>
      </c>
      <c r="T344" s="213" t="s">
        <v>5000</v>
      </c>
      <c r="U344" s="213">
        <v>3</v>
      </c>
      <c r="V344" s="213" t="s">
        <v>3443</v>
      </c>
      <c r="W344" s="213" t="s">
        <v>3572</v>
      </c>
      <c r="X344" s="213" t="s">
        <v>3441</v>
      </c>
      <c r="Y344" s="213" t="s">
        <v>4995</v>
      </c>
      <c r="Z344" s="213" t="s">
        <v>4549</v>
      </c>
      <c r="AA344" s="213">
        <v>75</v>
      </c>
      <c r="AB344" s="213">
        <v>75</v>
      </c>
      <c r="AC344" s="207" t="s">
        <v>4530</v>
      </c>
      <c r="AD344"/>
      <c r="AE344" s="206"/>
      <c r="AF344" s="94"/>
      <c r="AG344" s="94"/>
      <c r="AH344" s="94"/>
      <c r="AI344" s="94"/>
      <c r="AJ344" s="94"/>
      <c r="AK344" s="94"/>
      <c r="AL344" s="94"/>
      <c r="AM344" s="254"/>
      <c r="AN344" s="254"/>
      <c r="AO344" s="94"/>
      <c r="AP344" s="94"/>
      <c r="AQ344" s="94"/>
      <c r="AR344" s="94"/>
      <c r="AS344" s="207"/>
    </row>
    <row r="345" spans="13:45" ht="12.75">
      <c r="M345" s="104"/>
      <c r="O345" s="206" t="s">
        <v>1214</v>
      </c>
      <c r="P345" s="94" t="s">
        <v>406</v>
      </c>
      <c r="Q345" s="180">
        <v>208709</v>
      </c>
      <c r="R345" s="258">
        <v>2500</v>
      </c>
      <c r="S345" s="259">
        <v>75</v>
      </c>
      <c r="T345" s="213" t="s">
        <v>5000</v>
      </c>
      <c r="U345" s="213">
        <v>3</v>
      </c>
      <c r="V345" s="213" t="s">
        <v>3443</v>
      </c>
      <c r="W345" s="213" t="s">
        <v>3572</v>
      </c>
      <c r="X345" s="213" t="s">
        <v>3441</v>
      </c>
      <c r="Y345" s="213" t="s">
        <v>4999</v>
      </c>
      <c r="Z345" s="213" t="s">
        <v>4549</v>
      </c>
      <c r="AA345" s="213">
        <v>75</v>
      </c>
      <c r="AB345" s="213">
        <v>75</v>
      </c>
      <c r="AC345" s="207" t="s">
        <v>4530</v>
      </c>
      <c r="AD345"/>
      <c r="AE345" s="206"/>
      <c r="AF345" s="94"/>
      <c r="AG345" s="94"/>
      <c r="AH345" s="94"/>
      <c r="AI345" s="94"/>
      <c r="AJ345" s="94"/>
      <c r="AK345" s="94"/>
      <c r="AL345" s="94"/>
      <c r="AM345" s="254"/>
      <c r="AN345" s="254"/>
      <c r="AO345" s="94"/>
      <c r="AP345" s="94"/>
      <c r="AQ345" s="94"/>
      <c r="AR345" s="94"/>
      <c r="AS345" s="207"/>
    </row>
    <row r="346" spans="13:45" ht="12.75">
      <c r="M346" s="104"/>
      <c r="O346" s="206" t="s">
        <v>1215</v>
      </c>
      <c r="P346" s="94" t="s">
        <v>407</v>
      </c>
      <c r="Q346" s="180">
        <v>201493</v>
      </c>
      <c r="R346" s="258">
        <v>2500</v>
      </c>
      <c r="S346" s="259">
        <v>75</v>
      </c>
      <c r="T346" s="213" t="s">
        <v>5000</v>
      </c>
      <c r="U346" s="213">
        <v>3</v>
      </c>
      <c r="V346" s="213" t="s">
        <v>3443</v>
      </c>
      <c r="W346" s="213" t="s">
        <v>3572</v>
      </c>
      <c r="X346" s="213" t="s">
        <v>3441</v>
      </c>
      <c r="Y346" s="213" t="s">
        <v>4996</v>
      </c>
      <c r="Z346" s="213" t="s">
        <v>4549</v>
      </c>
      <c r="AA346" s="213">
        <v>75</v>
      </c>
      <c r="AB346" s="213">
        <v>75</v>
      </c>
      <c r="AC346" s="207" t="s">
        <v>4530</v>
      </c>
      <c r="AD346"/>
      <c r="AE346" s="206"/>
      <c r="AF346" s="94"/>
      <c r="AG346" s="94"/>
      <c r="AH346" s="94"/>
      <c r="AI346" s="94"/>
      <c r="AJ346" s="94"/>
      <c r="AK346" s="94"/>
      <c r="AL346" s="94"/>
      <c r="AM346" s="254"/>
      <c r="AN346" s="254"/>
      <c r="AO346" s="94"/>
      <c r="AP346" s="94"/>
      <c r="AQ346" s="94"/>
      <c r="AR346" s="94"/>
      <c r="AS346" s="207"/>
    </row>
    <row r="347" spans="13:45" ht="12.75">
      <c r="M347" s="104"/>
      <c r="O347" s="206" t="s">
        <v>1216</v>
      </c>
      <c r="P347" s="94" t="s">
        <v>408</v>
      </c>
      <c r="Q347" s="180">
        <v>232919</v>
      </c>
      <c r="R347" s="258">
        <v>2500</v>
      </c>
      <c r="S347" s="259">
        <v>75</v>
      </c>
      <c r="T347" s="213" t="s">
        <v>5000</v>
      </c>
      <c r="U347" s="213">
        <v>3</v>
      </c>
      <c r="V347" s="213" t="s">
        <v>3443</v>
      </c>
      <c r="W347" s="213" t="s">
        <v>3572</v>
      </c>
      <c r="X347" s="213" t="s">
        <v>3445</v>
      </c>
      <c r="Y347" s="213" t="s">
        <v>4999</v>
      </c>
      <c r="Z347" s="213" t="s">
        <v>4549</v>
      </c>
      <c r="AA347" s="213">
        <v>75</v>
      </c>
      <c r="AB347" s="213">
        <v>75</v>
      </c>
      <c r="AC347" s="207" t="s">
        <v>4530</v>
      </c>
      <c r="AD347"/>
      <c r="AE347" s="206"/>
      <c r="AF347" s="94"/>
      <c r="AG347" s="94"/>
      <c r="AH347" s="94"/>
      <c r="AI347" s="94"/>
      <c r="AJ347" s="94"/>
      <c r="AK347" s="94"/>
      <c r="AL347" s="94"/>
      <c r="AM347" s="254"/>
      <c r="AN347" s="254"/>
      <c r="AO347" s="94"/>
      <c r="AP347" s="94"/>
      <c r="AQ347" s="94"/>
      <c r="AR347" s="94"/>
      <c r="AS347" s="207"/>
    </row>
    <row r="348" spans="13:45" ht="12.75">
      <c r="M348" s="104"/>
      <c r="O348" s="206" t="s">
        <v>1217</v>
      </c>
      <c r="P348" s="94" t="s">
        <v>409</v>
      </c>
      <c r="Q348" s="180">
        <v>225701</v>
      </c>
      <c r="R348" s="258">
        <v>2500</v>
      </c>
      <c r="S348" s="259">
        <v>75</v>
      </c>
      <c r="T348" s="213" t="s">
        <v>5000</v>
      </c>
      <c r="U348" s="213">
        <v>3</v>
      </c>
      <c r="V348" s="213" t="s">
        <v>3443</v>
      </c>
      <c r="W348" s="213" t="s">
        <v>3572</v>
      </c>
      <c r="X348" s="213" t="s">
        <v>3445</v>
      </c>
      <c r="Y348" s="213" t="s">
        <v>4996</v>
      </c>
      <c r="Z348" s="213" t="s">
        <v>4549</v>
      </c>
      <c r="AA348" s="213">
        <v>75</v>
      </c>
      <c r="AB348" s="213">
        <v>75</v>
      </c>
      <c r="AC348" s="207" t="s">
        <v>4530</v>
      </c>
      <c r="AD348"/>
      <c r="AE348" s="206"/>
      <c r="AF348" s="94"/>
      <c r="AG348" s="94"/>
      <c r="AH348" s="94"/>
      <c r="AI348" s="94"/>
      <c r="AJ348" s="94"/>
      <c r="AK348" s="94"/>
      <c r="AL348" s="94"/>
      <c r="AM348" s="254"/>
      <c r="AN348" s="254"/>
      <c r="AO348" s="94"/>
      <c r="AP348" s="94"/>
      <c r="AQ348" s="94"/>
      <c r="AR348" s="94"/>
      <c r="AS348" s="207"/>
    </row>
    <row r="349" spans="13:45" ht="12.75">
      <c r="M349" s="104"/>
      <c r="O349" s="206" t="s">
        <v>1218</v>
      </c>
      <c r="P349" s="94" t="s">
        <v>410</v>
      </c>
      <c r="Q349" s="180">
        <v>203129</v>
      </c>
      <c r="R349" s="258">
        <v>2500</v>
      </c>
      <c r="S349" s="259">
        <v>100</v>
      </c>
      <c r="T349" s="213" t="s">
        <v>5000</v>
      </c>
      <c r="U349" s="213">
        <v>3</v>
      </c>
      <c r="V349" s="213" t="s">
        <v>3443</v>
      </c>
      <c r="W349" s="213" t="s">
        <v>3572</v>
      </c>
      <c r="X349" s="213" t="s">
        <v>3441</v>
      </c>
      <c r="Y349" s="213" t="s">
        <v>4995</v>
      </c>
      <c r="Z349" s="213" t="s">
        <v>3470</v>
      </c>
      <c r="AA349" s="213">
        <v>75</v>
      </c>
      <c r="AB349" s="213">
        <v>85</v>
      </c>
      <c r="AC349" s="207" t="s">
        <v>4530</v>
      </c>
      <c r="AD349"/>
      <c r="AE349" s="206"/>
      <c r="AF349" s="94"/>
      <c r="AG349" s="94"/>
      <c r="AH349" s="94"/>
      <c r="AI349" s="94"/>
      <c r="AJ349" s="94"/>
      <c r="AK349" s="94"/>
      <c r="AL349" s="94"/>
      <c r="AM349" s="254"/>
      <c r="AN349" s="254"/>
      <c r="AO349" s="94"/>
      <c r="AP349" s="94"/>
      <c r="AQ349" s="94"/>
      <c r="AR349" s="94"/>
      <c r="AS349" s="207"/>
    </row>
    <row r="350" spans="13:45" ht="12.75">
      <c r="M350" s="104"/>
      <c r="O350" s="206" t="s">
        <v>1219</v>
      </c>
      <c r="P350" s="94" t="s">
        <v>411</v>
      </c>
      <c r="Q350" s="180">
        <v>215977</v>
      </c>
      <c r="R350" s="258">
        <v>2500</v>
      </c>
      <c r="S350" s="259">
        <v>100</v>
      </c>
      <c r="T350" s="213" t="s">
        <v>5000</v>
      </c>
      <c r="U350" s="213">
        <v>3</v>
      </c>
      <c r="V350" s="213" t="s">
        <v>3443</v>
      </c>
      <c r="W350" s="213" t="s">
        <v>3572</v>
      </c>
      <c r="X350" s="213" t="s">
        <v>3441</v>
      </c>
      <c r="Y350" s="213" t="s">
        <v>4999</v>
      </c>
      <c r="Z350" s="213" t="s">
        <v>3470</v>
      </c>
      <c r="AA350" s="213">
        <v>75</v>
      </c>
      <c r="AB350" s="213">
        <v>85</v>
      </c>
      <c r="AC350" s="207" t="s">
        <v>4530</v>
      </c>
      <c r="AD350"/>
      <c r="AE350" s="206"/>
      <c r="AF350" s="94"/>
      <c r="AG350" s="94"/>
      <c r="AH350" s="94"/>
      <c r="AI350" s="94"/>
      <c r="AJ350" s="94"/>
      <c r="AK350" s="94"/>
      <c r="AL350" s="94"/>
      <c r="AM350" s="254"/>
      <c r="AN350" s="254"/>
      <c r="AO350" s="94"/>
      <c r="AP350" s="94"/>
      <c r="AQ350" s="94"/>
      <c r="AR350" s="94"/>
      <c r="AS350" s="207"/>
    </row>
    <row r="351" spans="13:45" ht="12.75">
      <c r="M351" s="104"/>
      <c r="O351" s="206" t="s">
        <v>1220</v>
      </c>
      <c r="P351" s="94" t="s">
        <v>412</v>
      </c>
      <c r="Q351" s="180">
        <v>208759</v>
      </c>
      <c r="R351" s="258">
        <v>2500</v>
      </c>
      <c r="S351" s="259">
        <v>100</v>
      </c>
      <c r="T351" s="213" t="s">
        <v>5000</v>
      </c>
      <c r="U351" s="213">
        <v>3</v>
      </c>
      <c r="V351" s="213" t="s">
        <v>3443</v>
      </c>
      <c r="W351" s="213" t="s">
        <v>3572</v>
      </c>
      <c r="X351" s="213" t="s">
        <v>3441</v>
      </c>
      <c r="Y351" s="213" t="s">
        <v>4996</v>
      </c>
      <c r="Z351" s="213" t="s">
        <v>3470</v>
      </c>
      <c r="AA351" s="213">
        <v>75</v>
      </c>
      <c r="AB351" s="213">
        <v>85</v>
      </c>
      <c r="AC351" s="207" t="s">
        <v>4530</v>
      </c>
      <c r="AD351"/>
      <c r="AE351" s="206"/>
      <c r="AF351" s="94"/>
      <c r="AG351" s="94"/>
      <c r="AH351" s="94"/>
      <c r="AI351" s="94"/>
      <c r="AJ351" s="94"/>
      <c r="AK351" s="94"/>
      <c r="AL351" s="94"/>
      <c r="AM351" s="254"/>
      <c r="AN351" s="254"/>
      <c r="AO351" s="94"/>
      <c r="AP351" s="94"/>
      <c r="AQ351" s="94"/>
      <c r="AR351" s="94"/>
      <c r="AS351" s="207"/>
    </row>
    <row r="352" spans="13:45" ht="12.75">
      <c r="M352" s="104"/>
      <c r="O352" s="206" t="s">
        <v>1221</v>
      </c>
      <c r="P352" s="94" t="s">
        <v>413</v>
      </c>
      <c r="Q352" s="180">
        <v>240186</v>
      </c>
      <c r="R352" s="258">
        <v>2500</v>
      </c>
      <c r="S352" s="259">
        <v>100</v>
      </c>
      <c r="T352" s="213" t="s">
        <v>5000</v>
      </c>
      <c r="U352" s="213">
        <v>3</v>
      </c>
      <c r="V352" s="213" t="s">
        <v>3443</v>
      </c>
      <c r="W352" s="213" t="s">
        <v>3572</v>
      </c>
      <c r="X352" s="213" t="s">
        <v>3445</v>
      </c>
      <c r="Y352" s="213" t="s">
        <v>4999</v>
      </c>
      <c r="Z352" s="213" t="s">
        <v>3470</v>
      </c>
      <c r="AA352" s="213">
        <v>75</v>
      </c>
      <c r="AB352" s="213">
        <v>85</v>
      </c>
      <c r="AC352" s="207" t="s">
        <v>4530</v>
      </c>
      <c r="AD352"/>
      <c r="AE352" s="206"/>
      <c r="AF352" s="94"/>
      <c r="AG352" s="94"/>
      <c r="AH352" s="94"/>
      <c r="AI352" s="94"/>
      <c r="AJ352" s="94"/>
      <c r="AK352" s="94"/>
      <c r="AL352" s="94"/>
      <c r="AM352" s="254"/>
      <c r="AN352" s="254"/>
      <c r="AO352" s="94"/>
      <c r="AP352" s="94"/>
      <c r="AQ352" s="94"/>
      <c r="AR352" s="94"/>
      <c r="AS352" s="207"/>
    </row>
    <row r="353" spans="13:45" ht="12.75">
      <c r="M353" s="104"/>
      <c r="O353" s="206" t="s">
        <v>1222</v>
      </c>
      <c r="P353" s="94" t="s">
        <v>414</v>
      </c>
      <c r="Q353" s="180">
        <v>232969</v>
      </c>
      <c r="R353" s="258">
        <v>2500</v>
      </c>
      <c r="S353" s="259">
        <v>100</v>
      </c>
      <c r="T353" s="213" t="s">
        <v>5000</v>
      </c>
      <c r="U353" s="213">
        <v>3</v>
      </c>
      <c r="V353" s="213" t="s">
        <v>3443</v>
      </c>
      <c r="W353" s="213" t="s">
        <v>3572</v>
      </c>
      <c r="X353" s="213" t="s">
        <v>3445</v>
      </c>
      <c r="Y353" s="213" t="s">
        <v>4996</v>
      </c>
      <c r="Z353" s="213" t="s">
        <v>3470</v>
      </c>
      <c r="AA353" s="213">
        <v>75</v>
      </c>
      <c r="AB353" s="213">
        <v>85</v>
      </c>
      <c r="AC353" s="207" t="s">
        <v>4530</v>
      </c>
      <c r="AD353"/>
      <c r="AE353" s="206"/>
      <c r="AF353" s="94"/>
      <c r="AG353" s="94"/>
      <c r="AH353" s="94"/>
      <c r="AI353" s="94"/>
      <c r="AJ353" s="94"/>
      <c r="AK353" s="94"/>
      <c r="AL353" s="94"/>
      <c r="AM353" s="254"/>
      <c r="AN353" s="254"/>
      <c r="AO353" s="94"/>
      <c r="AP353" s="94"/>
      <c r="AQ353" s="94"/>
      <c r="AR353" s="94"/>
      <c r="AS353" s="207"/>
    </row>
    <row r="354" spans="13:45" ht="12.75">
      <c r="M354" s="104"/>
      <c r="O354" s="206" t="s">
        <v>1223</v>
      </c>
      <c r="P354" s="94" t="s">
        <v>415</v>
      </c>
      <c r="Q354" s="180">
        <v>228006</v>
      </c>
      <c r="R354" s="258">
        <v>2500</v>
      </c>
      <c r="S354" s="259" t="s">
        <v>5004</v>
      </c>
      <c r="T354" s="213" t="s">
        <v>5000</v>
      </c>
      <c r="U354" s="213">
        <v>3</v>
      </c>
      <c r="V354" s="213" t="s">
        <v>3443</v>
      </c>
      <c r="W354" s="213" t="s">
        <v>3572</v>
      </c>
      <c r="X354" s="213" t="s">
        <v>3441</v>
      </c>
      <c r="Y354" s="213" t="s">
        <v>4995</v>
      </c>
      <c r="Z354" s="213" t="s">
        <v>3125</v>
      </c>
      <c r="AA354" s="213">
        <v>15</v>
      </c>
      <c r="AB354" s="213">
        <v>130</v>
      </c>
      <c r="AC354" s="207" t="s">
        <v>3651</v>
      </c>
      <c r="AD354"/>
      <c r="AE354" s="206"/>
      <c r="AF354" s="94"/>
      <c r="AG354" s="94"/>
      <c r="AH354" s="94"/>
      <c r="AI354" s="94"/>
      <c r="AJ354" s="94"/>
      <c r="AK354" s="94"/>
      <c r="AL354" s="94"/>
      <c r="AM354" s="254"/>
      <c r="AN354" s="254"/>
      <c r="AO354" s="94"/>
      <c r="AP354" s="94"/>
      <c r="AQ354" s="94"/>
      <c r="AR354" s="94"/>
      <c r="AS354" s="207"/>
    </row>
    <row r="355" spans="13:45" ht="12.75">
      <c r="M355" s="104"/>
      <c r="O355" s="206" t="s">
        <v>1224</v>
      </c>
      <c r="P355" s="94" t="s">
        <v>416</v>
      </c>
      <c r="Q355" s="180">
        <v>240853</v>
      </c>
      <c r="R355" s="258">
        <v>2500</v>
      </c>
      <c r="S355" s="259" t="s">
        <v>5004</v>
      </c>
      <c r="T355" s="213" t="s">
        <v>5000</v>
      </c>
      <c r="U355" s="213">
        <v>3</v>
      </c>
      <c r="V355" s="213" t="s">
        <v>3443</v>
      </c>
      <c r="W355" s="213" t="s">
        <v>3572</v>
      </c>
      <c r="X355" s="213" t="s">
        <v>3441</v>
      </c>
      <c r="Y355" s="213" t="s">
        <v>4999</v>
      </c>
      <c r="Z355" s="213" t="s">
        <v>3125</v>
      </c>
      <c r="AA355" s="213">
        <v>15</v>
      </c>
      <c r="AB355" s="213">
        <v>130</v>
      </c>
      <c r="AC355" s="207" t="s">
        <v>3651</v>
      </c>
      <c r="AD355"/>
      <c r="AE355" s="206"/>
      <c r="AF355" s="94"/>
      <c r="AG355" s="94"/>
      <c r="AH355" s="94"/>
      <c r="AI355" s="94"/>
      <c r="AJ355" s="94"/>
      <c r="AK355" s="94"/>
      <c r="AL355" s="94"/>
      <c r="AM355" s="254"/>
      <c r="AN355" s="254"/>
      <c r="AO355" s="94"/>
      <c r="AP355" s="94"/>
      <c r="AQ355" s="94"/>
      <c r="AR355" s="94"/>
      <c r="AS355" s="207"/>
    </row>
    <row r="356" spans="13:45" ht="12.75">
      <c r="M356" s="104"/>
      <c r="O356" s="206" t="s">
        <v>1225</v>
      </c>
      <c r="P356" s="94" t="s">
        <v>417</v>
      </c>
      <c r="Q356" s="180">
        <v>233636</v>
      </c>
      <c r="R356" s="258">
        <v>2500</v>
      </c>
      <c r="S356" s="259" t="s">
        <v>5004</v>
      </c>
      <c r="T356" s="213" t="s">
        <v>5000</v>
      </c>
      <c r="U356" s="213">
        <v>3</v>
      </c>
      <c r="V356" s="213" t="s">
        <v>3443</v>
      </c>
      <c r="W356" s="213" t="s">
        <v>3572</v>
      </c>
      <c r="X356" s="213" t="s">
        <v>3441</v>
      </c>
      <c r="Y356" s="213" t="s">
        <v>4996</v>
      </c>
      <c r="Z356" s="213" t="s">
        <v>3125</v>
      </c>
      <c r="AA356" s="213">
        <v>15</v>
      </c>
      <c r="AB356" s="213">
        <v>130</v>
      </c>
      <c r="AC356" s="207" t="s">
        <v>3651</v>
      </c>
      <c r="AD356"/>
      <c r="AE356" s="206"/>
      <c r="AF356" s="94"/>
      <c r="AG356" s="94"/>
      <c r="AH356" s="94"/>
      <c r="AI356" s="94"/>
      <c r="AJ356" s="94"/>
      <c r="AK356" s="94"/>
      <c r="AL356" s="94"/>
      <c r="AM356" s="254"/>
      <c r="AN356" s="254"/>
      <c r="AO356" s="94"/>
      <c r="AP356" s="94"/>
      <c r="AQ356" s="94"/>
      <c r="AR356" s="94"/>
      <c r="AS356" s="207"/>
    </row>
    <row r="357" spans="13:45" ht="12.75">
      <c r="M357" s="104"/>
      <c r="O357" s="206" t="s">
        <v>1226</v>
      </c>
      <c r="P357" s="94" t="s">
        <v>418</v>
      </c>
      <c r="Q357" s="180">
        <v>265062</v>
      </c>
      <c r="R357" s="258">
        <v>2500</v>
      </c>
      <c r="S357" s="259" t="s">
        <v>5004</v>
      </c>
      <c r="T357" s="213" t="s">
        <v>5000</v>
      </c>
      <c r="U357" s="213">
        <v>3</v>
      </c>
      <c r="V357" s="213" t="s">
        <v>3443</v>
      </c>
      <c r="W357" s="213" t="s">
        <v>3572</v>
      </c>
      <c r="X357" s="213" t="s">
        <v>3445</v>
      </c>
      <c r="Y357" s="213" t="s">
        <v>4999</v>
      </c>
      <c r="Z357" s="213" t="s">
        <v>3125</v>
      </c>
      <c r="AA357" s="213">
        <v>15</v>
      </c>
      <c r="AB357" s="213">
        <v>130</v>
      </c>
      <c r="AC357" s="207" t="s">
        <v>3651</v>
      </c>
      <c r="AD357"/>
      <c r="AE357" s="206"/>
      <c r="AF357" s="94"/>
      <c r="AG357" s="94"/>
      <c r="AH357" s="94"/>
      <c r="AI357" s="94"/>
      <c r="AJ357" s="94"/>
      <c r="AK357" s="94"/>
      <c r="AL357" s="94"/>
      <c r="AM357" s="254"/>
      <c r="AN357" s="254"/>
      <c r="AO357" s="94"/>
      <c r="AP357" s="94"/>
      <c r="AQ357" s="94"/>
      <c r="AR357" s="94"/>
      <c r="AS357" s="207"/>
    </row>
    <row r="358" spans="13:45" ht="12.75">
      <c r="M358" s="104"/>
      <c r="O358" s="206" t="s">
        <v>1227</v>
      </c>
      <c r="P358" s="94" t="s">
        <v>419</v>
      </c>
      <c r="Q358" s="180">
        <v>257845</v>
      </c>
      <c r="R358" s="258">
        <v>2500</v>
      </c>
      <c r="S358" s="259" t="s">
        <v>5004</v>
      </c>
      <c r="T358" s="213" t="s">
        <v>5000</v>
      </c>
      <c r="U358" s="213">
        <v>3</v>
      </c>
      <c r="V358" s="213" t="s">
        <v>3443</v>
      </c>
      <c r="W358" s="213" t="s">
        <v>3572</v>
      </c>
      <c r="X358" s="213" t="s">
        <v>3445</v>
      </c>
      <c r="Y358" s="213" t="s">
        <v>4996</v>
      </c>
      <c r="Z358" s="213" t="s">
        <v>3125</v>
      </c>
      <c r="AA358" s="213">
        <v>15</v>
      </c>
      <c r="AB358" s="213">
        <v>130</v>
      </c>
      <c r="AC358" s="207" t="s">
        <v>3651</v>
      </c>
      <c r="AD358"/>
      <c r="AE358" s="206"/>
      <c r="AF358" s="94"/>
      <c r="AG358" s="94"/>
      <c r="AH358" s="94"/>
      <c r="AI358" s="94"/>
      <c r="AJ358" s="94"/>
      <c r="AK358" s="94"/>
      <c r="AL358" s="94"/>
      <c r="AM358" s="254"/>
      <c r="AN358" s="254"/>
      <c r="AO358" s="94"/>
      <c r="AP358" s="94"/>
      <c r="AQ358" s="94"/>
      <c r="AR358" s="94"/>
      <c r="AS358" s="207"/>
    </row>
    <row r="359" spans="13:45" ht="12.75">
      <c r="M359" s="104"/>
      <c r="O359" s="206" t="s">
        <v>1228</v>
      </c>
      <c r="P359" s="94" t="s">
        <v>420</v>
      </c>
      <c r="Q359" s="180">
        <v>203357</v>
      </c>
      <c r="R359" s="258">
        <v>3200</v>
      </c>
      <c r="S359" s="259">
        <v>65</v>
      </c>
      <c r="T359" s="213" t="s">
        <v>5000</v>
      </c>
      <c r="U359" s="213">
        <v>3</v>
      </c>
      <c r="V359" s="213" t="s">
        <v>3443</v>
      </c>
      <c r="W359" s="213" t="s">
        <v>3572</v>
      </c>
      <c r="X359" s="213" t="s">
        <v>3441</v>
      </c>
      <c r="Y359" s="213" t="s">
        <v>4995</v>
      </c>
      <c r="Z359" s="213" t="s">
        <v>3356</v>
      </c>
      <c r="AA359" s="213">
        <v>65</v>
      </c>
      <c r="AB359" s="213">
        <v>65</v>
      </c>
      <c r="AC359" s="207" t="s">
        <v>4530</v>
      </c>
      <c r="AD359"/>
      <c r="AE359" s="206"/>
      <c r="AF359" s="94"/>
      <c r="AG359" s="94"/>
      <c r="AH359" s="94"/>
      <c r="AI359" s="94"/>
      <c r="AJ359" s="94"/>
      <c r="AK359" s="94"/>
      <c r="AL359" s="94"/>
      <c r="AM359" s="254"/>
      <c r="AN359" s="254"/>
      <c r="AO359" s="94"/>
      <c r="AP359" s="94"/>
      <c r="AQ359" s="94"/>
      <c r="AR359" s="94"/>
      <c r="AS359" s="207"/>
    </row>
    <row r="360" spans="13:45" ht="12.75">
      <c r="M360" s="104"/>
      <c r="O360" s="206" t="s">
        <v>1229</v>
      </c>
      <c r="P360" s="94" t="s">
        <v>421</v>
      </c>
      <c r="Q360" s="180">
        <v>216204</v>
      </c>
      <c r="R360" s="258">
        <v>3200</v>
      </c>
      <c r="S360" s="259">
        <v>65</v>
      </c>
      <c r="T360" s="213" t="s">
        <v>5000</v>
      </c>
      <c r="U360" s="213">
        <v>3</v>
      </c>
      <c r="V360" s="213" t="s">
        <v>3443</v>
      </c>
      <c r="W360" s="213" t="s">
        <v>3572</v>
      </c>
      <c r="X360" s="213" t="s">
        <v>3441</v>
      </c>
      <c r="Y360" s="213" t="s">
        <v>4999</v>
      </c>
      <c r="Z360" s="213" t="s">
        <v>3356</v>
      </c>
      <c r="AA360" s="213">
        <v>65</v>
      </c>
      <c r="AB360" s="213">
        <v>65</v>
      </c>
      <c r="AC360" s="207" t="s">
        <v>4530</v>
      </c>
      <c r="AD360"/>
      <c r="AE360" s="206"/>
      <c r="AF360" s="94"/>
      <c r="AG360" s="94"/>
      <c r="AH360" s="94"/>
      <c r="AI360" s="94"/>
      <c r="AJ360" s="94"/>
      <c r="AK360" s="94"/>
      <c r="AL360" s="94"/>
      <c r="AM360" s="254"/>
      <c r="AN360" s="254"/>
      <c r="AO360" s="94"/>
      <c r="AP360" s="94"/>
      <c r="AQ360" s="94"/>
      <c r="AR360" s="94"/>
      <c r="AS360" s="207"/>
    </row>
    <row r="361" spans="13:45" ht="12.75">
      <c r="M361" s="104"/>
      <c r="O361" s="206" t="s">
        <v>1230</v>
      </c>
      <c r="P361" s="94" t="s">
        <v>422</v>
      </c>
      <c r="Q361" s="180">
        <v>208986</v>
      </c>
      <c r="R361" s="258">
        <v>3200</v>
      </c>
      <c r="S361" s="259">
        <v>65</v>
      </c>
      <c r="T361" s="213" t="s">
        <v>5000</v>
      </c>
      <c r="U361" s="213">
        <v>3</v>
      </c>
      <c r="V361" s="213" t="s">
        <v>3443</v>
      </c>
      <c r="W361" s="213" t="s">
        <v>3572</v>
      </c>
      <c r="X361" s="213" t="s">
        <v>3441</v>
      </c>
      <c r="Y361" s="213" t="s">
        <v>4996</v>
      </c>
      <c r="Z361" s="213" t="s">
        <v>3356</v>
      </c>
      <c r="AA361" s="213">
        <v>65</v>
      </c>
      <c r="AB361" s="213">
        <v>65</v>
      </c>
      <c r="AC361" s="207" t="s">
        <v>4530</v>
      </c>
      <c r="AD361"/>
      <c r="AE361" s="206"/>
      <c r="AF361" s="94"/>
      <c r="AG361" s="94"/>
      <c r="AH361" s="94"/>
      <c r="AI361" s="94"/>
      <c r="AJ361" s="94"/>
      <c r="AK361" s="94"/>
      <c r="AL361" s="94"/>
      <c r="AM361" s="254"/>
      <c r="AN361" s="254"/>
      <c r="AO361" s="94"/>
      <c r="AP361" s="94"/>
      <c r="AQ361" s="94"/>
      <c r="AR361" s="94"/>
      <c r="AS361" s="207"/>
    </row>
    <row r="362" spans="13:45" ht="12.75">
      <c r="M362" s="104"/>
      <c r="O362" s="206" t="s">
        <v>1231</v>
      </c>
      <c r="P362" s="94" t="s">
        <v>423</v>
      </c>
      <c r="Q362" s="180">
        <v>240413</v>
      </c>
      <c r="R362" s="258">
        <v>3200</v>
      </c>
      <c r="S362" s="259">
        <v>65</v>
      </c>
      <c r="T362" s="213" t="s">
        <v>5000</v>
      </c>
      <c r="U362" s="213">
        <v>3</v>
      </c>
      <c r="V362" s="213" t="s">
        <v>3443</v>
      </c>
      <c r="W362" s="213" t="s">
        <v>3572</v>
      </c>
      <c r="X362" s="213" t="s">
        <v>3445</v>
      </c>
      <c r="Y362" s="213" t="s">
        <v>4999</v>
      </c>
      <c r="Z362" s="213" t="s">
        <v>3356</v>
      </c>
      <c r="AA362" s="213">
        <v>65</v>
      </c>
      <c r="AB362" s="213">
        <v>65</v>
      </c>
      <c r="AC362" s="207" t="s">
        <v>4530</v>
      </c>
      <c r="AD362"/>
      <c r="AE362" s="206"/>
      <c r="AF362" s="94"/>
      <c r="AG362" s="94"/>
      <c r="AH362" s="94"/>
      <c r="AI362" s="94"/>
      <c r="AJ362" s="94"/>
      <c r="AK362" s="94"/>
      <c r="AL362" s="94"/>
      <c r="AM362" s="254"/>
      <c r="AN362" s="254"/>
      <c r="AO362" s="94"/>
      <c r="AP362" s="94"/>
      <c r="AQ362" s="94"/>
      <c r="AR362" s="94"/>
      <c r="AS362" s="207"/>
    </row>
    <row r="363" spans="13:45" ht="12.75">
      <c r="M363" s="104"/>
      <c r="O363" s="206" t="s">
        <v>1232</v>
      </c>
      <c r="P363" s="94" t="s">
        <v>424</v>
      </c>
      <c r="Q363" s="180">
        <v>233194</v>
      </c>
      <c r="R363" s="258">
        <v>3200</v>
      </c>
      <c r="S363" s="259">
        <v>65</v>
      </c>
      <c r="T363" s="213" t="s">
        <v>5000</v>
      </c>
      <c r="U363" s="213">
        <v>3</v>
      </c>
      <c r="V363" s="213" t="s">
        <v>3443</v>
      </c>
      <c r="W363" s="213" t="s">
        <v>3572</v>
      </c>
      <c r="X363" s="213" t="s">
        <v>3445</v>
      </c>
      <c r="Y363" s="213" t="s">
        <v>4996</v>
      </c>
      <c r="Z363" s="213" t="s">
        <v>3356</v>
      </c>
      <c r="AA363" s="213">
        <v>65</v>
      </c>
      <c r="AB363" s="213">
        <v>65</v>
      </c>
      <c r="AC363" s="207" t="s">
        <v>4530</v>
      </c>
      <c r="AD363"/>
      <c r="AE363" s="206"/>
      <c r="AF363" s="94"/>
      <c r="AG363" s="94"/>
      <c r="AH363" s="94"/>
      <c r="AI363" s="94"/>
      <c r="AJ363" s="94"/>
      <c r="AK363" s="94"/>
      <c r="AL363" s="94"/>
      <c r="AM363" s="254"/>
      <c r="AN363" s="254"/>
      <c r="AO363" s="94"/>
      <c r="AP363" s="94"/>
      <c r="AQ363" s="94"/>
      <c r="AR363" s="94"/>
      <c r="AS363" s="207"/>
    </row>
    <row r="364" spans="13:45" ht="12.75">
      <c r="M364" s="104"/>
      <c r="O364" s="206" t="s">
        <v>1233</v>
      </c>
      <c r="P364" s="94" t="s">
        <v>425</v>
      </c>
      <c r="Q364" s="180">
        <v>218030</v>
      </c>
      <c r="R364" s="258">
        <v>3200</v>
      </c>
      <c r="S364" s="259">
        <v>75</v>
      </c>
      <c r="T364" s="213" t="s">
        <v>5000</v>
      </c>
      <c r="U364" s="213">
        <v>3</v>
      </c>
      <c r="V364" s="213" t="s">
        <v>3443</v>
      </c>
      <c r="W364" s="213" t="s">
        <v>3572</v>
      </c>
      <c r="X364" s="213" t="s">
        <v>3441</v>
      </c>
      <c r="Y364" s="213" t="s">
        <v>4995</v>
      </c>
      <c r="Z364" s="213" t="s">
        <v>4549</v>
      </c>
      <c r="AA364" s="213">
        <v>75</v>
      </c>
      <c r="AB364" s="213">
        <v>75</v>
      </c>
      <c r="AC364" s="207" t="s">
        <v>4530</v>
      </c>
      <c r="AD364"/>
      <c r="AE364" s="206"/>
      <c r="AF364" s="94"/>
      <c r="AG364" s="94"/>
      <c r="AH364" s="94"/>
      <c r="AI364" s="94"/>
      <c r="AJ364" s="94"/>
      <c r="AK364" s="94"/>
      <c r="AL364" s="94"/>
      <c r="AM364" s="254"/>
      <c r="AN364" s="254"/>
      <c r="AO364" s="94"/>
      <c r="AP364" s="94"/>
      <c r="AQ364" s="94"/>
      <c r="AR364" s="94"/>
      <c r="AS364" s="207"/>
    </row>
    <row r="365" spans="13:45" ht="12.75">
      <c r="M365" s="104"/>
      <c r="O365" s="206" t="s">
        <v>1234</v>
      </c>
      <c r="P365" s="94" t="s">
        <v>426</v>
      </c>
      <c r="Q365" s="180">
        <v>230877</v>
      </c>
      <c r="R365" s="258">
        <v>3200</v>
      </c>
      <c r="S365" s="259">
        <v>75</v>
      </c>
      <c r="T365" s="213" t="s">
        <v>5000</v>
      </c>
      <c r="U365" s="213">
        <v>3</v>
      </c>
      <c r="V365" s="213" t="s">
        <v>3443</v>
      </c>
      <c r="W365" s="213" t="s">
        <v>3572</v>
      </c>
      <c r="X365" s="213" t="s">
        <v>3441</v>
      </c>
      <c r="Y365" s="213" t="s">
        <v>4999</v>
      </c>
      <c r="Z365" s="213" t="s">
        <v>4549</v>
      </c>
      <c r="AA365" s="213">
        <v>75</v>
      </c>
      <c r="AB365" s="213">
        <v>75</v>
      </c>
      <c r="AC365" s="207" t="s">
        <v>4530</v>
      </c>
      <c r="AD365"/>
      <c r="AE365" s="206"/>
      <c r="AF365" s="94"/>
      <c r="AG365" s="94"/>
      <c r="AH365" s="94"/>
      <c r="AI365" s="94"/>
      <c r="AJ365" s="94"/>
      <c r="AK365" s="94"/>
      <c r="AL365" s="94"/>
      <c r="AM365" s="254"/>
      <c r="AN365" s="254"/>
      <c r="AO365" s="94"/>
      <c r="AP365" s="94"/>
      <c r="AQ365" s="94"/>
      <c r="AR365" s="94"/>
      <c r="AS365" s="207"/>
    </row>
    <row r="366" spans="13:45" ht="12.75">
      <c r="M366" s="104"/>
      <c r="O366" s="206" t="s">
        <v>1235</v>
      </c>
      <c r="P366" s="94" t="s">
        <v>427</v>
      </c>
      <c r="Q366" s="180">
        <v>223660</v>
      </c>
      <c r="R366" s="258">
        <v>3200</v>
      </c>
      <c r="S366" s="259">
        <v>75</v>
      </c>
      <c r="T366" s="213" t="s">
        <v>5000</v>
      </c>
      <c r="U366" s="213">
        <v>3</v>
      </c>
      <c r="V366" s="213" t="s">
        <v>3443</v>
      </c>
      <c r="W366" s="213" t="s">
        <v>3572</v>
      </c>
      <c r="X366" s="213" t="s">
        <v>3441</v>
      </c>
      <c r="Y366" s="213" t="s">
        <v>4996</v>
      </c>
      <c r="Z366" s="213" t="s">
        <v>4549</v>
      </c>
      <c r="AA366" s="213">
        <v>75</v>
      </c>
      <c r="AB366" s="213">
        <v>75</v>
      </c>
      <c r="AC366" s="207" t="s">
        <v>4530</v>
      </c>
      <c r="AD366"/>
      <c r="AE366" s="206"/>
      <c r="AF366" s="94"/>
      <c r="AG366" s="94"/>
      <c r="AH366" s="94"/>
      <c r="AI366" s="94"/>
      <c r="AJ366" s="94"/>
      <c r="AK366" s="94"/>
      <c r="AL366" s="94"/>
      <c r="AM366" s="254"/>
      <c r="AN366" s="254"/>
      <c r="AO366" s="94"/>
      <c r="AP366" s="94"/>
      <c r="AQ366" s="94"/>
      <c r="AR366" s="94"/>
      <c r="AS366" s="207"/>
    </row>
    <row r="367" spans="13:45" ht="12.75">
      <c r="M367" s="104"/>
      <c r="O367" s="206" t="s">
        <v>1236</v>
      </c>
      <c r="P367" s="94" t="s">
        <v>428</v>
      </c>
      <c r="Q367" s="180">
        <v>255086</v>
      </c>
      <c r="R367" s="258">
        <v>3200</v>
      </c>
      <c r="S367" s="259">
        <v>75</v>
      </c>
      <c r="T367" s="213" t="s">
        <v>5000</v>
      </c>
      <c r="U367" s="213">
        <v>3</v>
      </c>
      <c r="V367" s="213" t="s">
        <v>3443</v>
      </c>
      <c r="W367" s="213" t="s">
        <v>3572</v>
      </c>
      <c r="X367" s="213" t="s">
        <v>3445</v>
      </c>
      <c r="Y367" s="213" t="s">
        <v>4999</v>
      </c>
      <c r="Z367" s="213" t="s">
        <v>4549</v>
      </c>
      <c r="AA367" s="213">
        <v>75</v>
      </c>
      <c r="AB367" s="213">
        <v>75</v>
      </c>
      <c r="AC367" s="207" t="s">
        <v>4530</v>
      </c>
      <c r="AD367"/>
      <c r="AE367" s="206"/>
      <c r="AF367" s="94"/>
      <c r="AG367" s="94"/>
      <c r="AH367" s="94"/>
      <c r="AI367" s="94"/>
      <c r="AJ367" s="94"/>
      <c r="AK367" s="94"/>
      <c r="AL367" s="94"/>
      <c r="AM367" s="254"/>
      <c r="AN367" s="254"/>
      <c r="AO367" s="94"/>
      <c r="AP367" s="94"/>
      <c r="AQ367" s="94"/>
      <c r="AR367" s="94"/>
      <c r="AS367" s="207"/>
    </row>
    <row r="368" spans="13:45" ht="12.75">
      <c r="M368" s="104"/>
      <c r="O368" s="206" t="s">
        <v>1237</v>
      </c>
      <c r="P368" s="94" t="s">
        <v>429</v>
      </c>
      <c r="Q368" s="180">
        <v>247870</v>
      </c>
      <c r="R368" s="258">
        <v>3200</v>
      </c>
      <c r="S368" s="259">
        <v>75</v>
      </c>
      <c r="T368" s="213" t="s">
        <v>5000</v>
      </c>
      <c r="U368" s="213">
        <v>3</v>
      </c>
      <c r="V368" s="213" t="s">
        <v>3443</v>
      </c>
      <c r="W368" s="213" t="s">
        <v>3572</v>
      </c>
      <c r="X368" s="213" t="s">
        <v>3445</v>
      </c>
      <c r="Y368" s="213" t="s">
        <v>4996</v>
      </c>
      <c r="Z368" s="213" t="s">
        <v>4549</v>
      </c>
      <c r="AA368" s="213">
        <v>75</v>
      </c>
      <c r="AB368" s="213">
        <v>75</v>
      </c>
      <c r="AC368" s="207" t="s">
        <v>4530</v>
      </c>
      <c r="AD368"/>
      <c r="AE368" s="206"/>
      <c r="AF368" s="94"/>
      <c r="AG368" s="94"/>
      <c r="AH368" s="94"/>
      <c r="AI368" s="94"/>
      <c r="AJ368" s="94"/>
      <c r="AK368" s="94"/>
      <c r="AL368" s="94"/>
      <c r="AM368" s="254"/>
      <c r="AN368" s="254"/>
      <c r="AO368" s="94"/>
      <c r="AP368" s="94"/>
      <c r="AQ368" s="94"/>
      <c r="AR368" s="94"/>
      <c r="AS368" s="207"/>
    </row>
    <row r="369" spans="13:45" ht="12.75">
      <c r="M369" s="104"/>
      <c r="O369" s="206" t="s">
        <v>1238</v>
      </c>
      <c r="P369" s="94" t="s">
        <v>430</v>
      </c>
      <c r="Q369" s="180">
        <v>224101</v>
      </c>
      <c r="R369" s="258">
        <v>3200</v>
      </c>
      <c r="S369" s="259" t="s">
        <v>847</v>
      </c>
      <c r="T369" s="213" t="s">
        <v>5000</v>
      </c>
      <c r="U369" s="213">
        <v>3</v>
      </c>
      <c r="V369" s="213" t="s">
        <v>3443</v>
      </c>
      <c r="W369" s="213" t="s">
        <v>3572</v>
      </c>
      <c r="X369" s="213" t="s">
        <v>3441</v>
      </c>
      <c r="Y369" s="213" t="s">
        <v>4995</v>
      </c>
      <c r="Z369" s="213" t="s">
        <v>3470</v>
      </c>
      <c r="AA369" s="213">
        <v>75</v>
      </c>
      <c r="AB369" s="213">
        <v>85</v>
      </c>
      <c r="AC369" s="207" t="s">
        <v>4530</v>
      </c>
      <c r="AD369"/>
      <c r="AE369" s="206"/>
      <c r="AF369" s="94"/>
      <c r="AG369" s="94"/>
      <c r="AH369" s="94"/>
      <c r="AI369" s="94"/>
      <c r="AJ369" s="94"/>
      <c r="AK369" s="94"/>
      <c r="AL369" s="94"/>
      <c r="AM369" s="254"/>
      <c r="AN369" s="254"/>
      <c r="AO369" s="94"/>
      <c r="AP369" s="94"/>
      <c r="AQ369" s="94"/>
      <c r="AR369" s="94"/>
      <c r="AS369" s="207"/>
    </row>
    <row r="370" spans="13:45" ht="12.75">
      <c r="M370" s="104"/>
      <c r="O370" s="206" t="s">
        <v>1239</v>
      </c>
      <c r="P370" s="94" t="s">
        <v>431</v>
      </c>
      <c r="Q370" s="180">
        <v>236948</v>
      </c>
      <c r="R370" s="258">
        <v>3200</v>
      </c>
      <c r="S370" s="259" t="s">
        <v>847</v>
      </c>
      <c r="T370" s="213" t="s">
        <v>5000</v>
      </c>
      <c r="U370" s="213">
        <v>3</v>
      </c>
      <c r="V370" s="213" t="s">
        <v>3443</v>
      </c>
      <c r="W370" s="213" t="s">
        <v>3572</v>
      </c>
      <c r="X370" s="213" t="s">
        <v>3441</v>
      </c>
      <c r="Y370" s="213" t="s">
        <v>4999</v>
      </c>
      <c r="Z370" s="213" t="s">
        <v>3470</v>
      </c>
      <c r="AA370" s="213">
        <v>75</v>
      </c>
      <c r="AB370" s="213">
        <v>85</v>
      </c>
      <c r="AC370" s="207" t="s">
        <v>4530</v>
      </c>
      <c r="AD370"/>
      <c r="AE370" s="206"/>
      <c r="AF370" s="94"/>
      <c r="AG370" s="94"/>
      <c r="AH370" s="94"/>
      <c r="AI370" s="94"/>
      <c r="AJ370" s="94"/>
      <c r="AK370" s="94"/>
      <c r="AL370" s="94"/>
      <c r="AM370" s="254"/>
      <c r="AN370" s="254"/>
      <c r="AO370" s="94"/>
      <c r="AP370" s="94"/>
      <c r="AQ370" s="94"/>
      <c r="AR370" s="94"/>
      <c r="AS370" s="207"/>
    </row>
    <row r="371" spans="13:45" ht="12.75">
      <c r="M371" s="104"/>
      <c r="O371" s="206" t="s">
        <v>1240</v>
      </c>
      <c r="P371" s="94" t="s">
        <v>432</v>
      </c>
      <c r="Q371" s="180">
        <v>229731</v>
      </c>
      <c r="R371" s="258">
        <v>3200</v>
      </c>
      <c r="S371" s="259" t="s">
        <v>847</v>
      </c>
      <c r="T371" s="213" t="s">
        <v>5000</v>
      </c>
      <c r="U371" s="213">
        <v>3</v>
      </c>
      <c r="V371" s="213" t="s">
        <v>3443</v>
      </c>
      <c r="W371" s="213" t="s">
        <v>3572</v>
      </c>
      <c r="X371" s="213" t="s">
        <v>3441</v>
      </c>
      <c r="Y371" s="213" t="s">
        <v>4996</v>
      </c>
      <c r="Z371" s="213" t="s">
        <v>3470</v>
      </c>
      <c r="AA371" s="213">
        <v>75</v>
      </c>
      <c r="AB371" s="213">
        <v>85</v>
      </c>
      <c r="AC371" s="207" t="s">
        <v>4530</v>
      </c>
      <c r="AD371"/>
      <c r="AE371" s="206"/>
      <c r="AF371" s="94"/>
      <c r="AG371" s="94"/>
      <c r="AH371" s="94"/>
      <c r="AI371" s="94"/>
      <c r="AJ371" s="94"/>
      <c r="AK371" s="94"/>
      <c r="AL371" s="94"/>
      <c r="AM371" s="254"/>
      <c r="AN371" s="254"/>
      <c r="AO371" s="94"/>
      <c r="AP371" s="94"/>
      <c r="AQ371" s="94"/>
      <c r="AR371" s="94"/>
      <c r="AS371" s="207"/>
    </row>
    <row r="372" spans="13:45" ht="12.75">
      <c r="M372" s="104"/>
      <c r="O372" s="206" t="s">
        <v>1241</v>
      </c>
      <c r="P372" s="94" t="s">
        <v>433</v>
      </c>
      <c r="Q372" s="180">
        <v>261158</v>
      </c>
      <c r="R372" s="258">
        <v>3200</v>
      </c>
      <c r="S372" s="259" t="s">
        <v>847</v>
      </c>
      <c r="T372" s="213" t="s">
        <v>5000</v>
      </c>
      <c r="U372" s="213">
        <v>3</v>
      </c>
      <c r="V372" s="213" t="s">
        <v>3443</v>
      </c>
      <c r="W372" s="213" t="s">
        <v>3572</v>
      </c>
      <c r="X372" s="213" t="s">
        <v>3445</v>
      </c>
      <c r="Y372" s="213" t="s">
        <v>4999</v>
      </c>
      <c r="Z372" s="213" t="s">
        <v>3470</v>
      </c>
      <c r="AA372" s="213">
        <v>75</v>
      </c>
      <c r="AB372" s="213">
        <v>85</v>
      </c>
      <c r="AC372" s="207" t="s">
        <v>4530</v>
      </c>
      <c r="AD372"/>
      <c r="AE372" s="206"/>
      <c r="AF372" s="94"/>
      <c r="AG372" s="94"/>
      <c r="AH372" s="94"/>
      <c r="AI372" s="94"/>
      <c r="AJ372" s="94"/>
      <c r="AK372" s="94"/>
      <c r="AL372" s="94"/>
      <c r="AM372" s="254"/>
      <c r="AN372" s="254"/>
      <c r="AO372" s="94"/>
      <c r="AP372" s="94"/>
      <c r="AQ372" s="94"/>
      <c r="AR372" s="94"/>
      <c r="AS372" s="207"/>
    </row>
    <row r="373" spans="13:45" ht="12.75">
      <c r="M373" s="104"/>
      <c r="O373" s="206" t="s">
        <v>1242</v>
      </c>
      <c r="P373" s="94" t="s">
        <v>434</v>
      </c>
      <c r="Q373" s="180">
        <v>253941</v>
      </c>
      <c r="R373" s="258">
        <v>3200</v>
      </c>
      <c r="S373" s="259" t="s">
        <v>847</v>
      </c>
      <c r="T373" s="213" t="s">
        <v>5000</v>
      </c>
      <c r="U373" s="213">
        <v>3</v>
      </c>
      <c r="V373" s="213" t="s">
        <v>3443</v>
      </c>
      <c r="W373" s="213" t="s">
        <v>3572</v>
      </c>
      <c r="X373" s="213" t="s">
        <v>3445</v>
      </c>
      <c r="Y373" s="213" t="s">
        <v>4996</v>
      </c>
      <c r="Z373" s="213" t="s">
        <v>3470</v>
      </c>
      <c r="AA373" s="213">
        <v>75</v>
      </c>
      <c r="AB373" s="213">
        <v>85</v>
      </c>
      <c r="AC373" s="207" t="s">
        <v>4530</v>
      </c>
      <c r="AD373"/>
      <c r="AE373" s="206"/>
      <c r="AF373" s="94"/>
      <c r="AG373" s="94"/>
      <c r="AH373" s="94"/>
      <c r="AI373" s="94"/>
      <c r="AJ373" s="94"/>
      <c r="AK373" s="94"/>
      <c r="AL373" s="94"/>
      <c r="AM373" s="254"/>
      <c r="AN373" s="254"/>
      <c r="AO373" s="94"/>
      <c r="AP373" s="94"/>
      <c r="AQ373" s="94"/>
      <c r="AR373" s="94"/>
      <c r="AS373" s="207"/>
    </row>
    <row r="374" spans="13:45" ht="12.75">
      <c r="M374" s="104"/>
      <c r="O374" s="206" t="s">
        <v>1244</v>
      </c>
      <c r="P374" s="94" t="s">
        <v>4644</v>
      </c>
      <c r="Q374" s="180">
        <v>127721</v>
      </c>
      <c r="R374" s="258">
        <v>1250</v>
      </c>
      <c r="S374" s="259">
        <v>75</v>
      </c>
      <c r="T374" s="213" t="s">
        <v>5000</v>
      </c>
      <c r="U374" s="213">
        <v>4</v>
      </c>
      <c r="V374" s="213" t="s">
        <v>3439</v>
      </c>
      <c r="W374" s="213" t="s">
        <v>3361</v>
      </c>
      <c r="X374" s="213" t="s">
        <v>3441</v>
      </c>
      <c r="Y374" s="213" t="s">
        <v>4995</v>
      </c>
      <c r="Z374" s="213" t="s">
        <v>4549</v>
      </c>
      <c r="AA374" s="213">
        <v>75</v>
      </c>
      <c r="AB374" s="213">
        <v>75</v>
      </c>
      <c r="AC374" s="207" t="s">
        <v>4530</v>
      </c>
      <c r="AD374"/>
      <c r="AE374" s="206"/>
      <c r="AF374" s="94"/>
      <c r="AG374" s="94"/>
      <c r="AH374" s="94"/>
      <c r="AI374" s="94"/>
      <c r="AJ374" s="94"/>
      <c r="AK374" s="94"/>
      <c r="AL374" s="94"/>
      <c r="AM374" s="254"/>
      <c r="AN374" s="254"/>
      <c r="AO374" s="94"/>
      <c r="AP374" s="94"/>
      <c r="AQ374" s="94"/>
      <c r="AR374" s="94"/>
      <c r="AS374" s="207"/>
    </row>
    <row r="375" spans="13:45" ht="12.75">
      <c r="M375" s="104"/>
      <c r="O375" s="206" t="s">
        <v>1247</v>
      </c>
      <c r="P375" s="94" t="s">
        <v>4647</v>
      </c>
      <c r="Q375" s="180">
        <v>140569</v>
      </c>
      <c r="R375" s="258">
        <v>1250</v>
      </c>
      <c r="S375" s="259">
        <v>75</v>
      </c>
      <c r="T375" s="213" t="s">
        <v>5000</v>
      </c>
      <c r="U375" s="213">
        <v>4</v>
      </c>
      <c r="V375" s="213" t="s">
        <v>3439</v>
      </c>
      <c r="W375" s="213" t="s">
        <v>3361</v>
      </c>
      <c r="X375" s="213" t="s">
        <v>3441</v>
      </c>
      <c r="Y375" s="213" t="s">
        <v>4999</v>
      </c>
      <c r="Z375" s="213" t="s">
        <v>4549</v>
      </c>
      <c r="AA375" s="213">
        <v>75</v>
      </c>
      <c r="AB375" s="213">
        <v>75</v>
      </c>
      <c r="AC375" s="207" t="s">
        <v>4530</v>
      </c>
      <c r="AD375"/>
      <c r="AE375" s="206"/>
      <c r="AF375" s="94"/>
      <c r="AG375" s="94"/>
      <c r="AH375" s="94"/>
      <c r="AI375" s="94"/>
      <c r="AJ375" s="94"/>
      <c r="AK375" s="94"/>
      <c r="AL375" s="94"/>
      <c r="AM375" s="254"/>
      <c r="AN375" s="254"/>
      <c r="AO375" s="94"/>
      <c r="AP375" s="94"/>
      <c r="AQ375" s="94"/>
      <c r="AR375" s="94"/>
      <c r="AS375" s="207"/>
    </row>
    <row r="376" spans="13:45" ht="12.75">
      <c r="M376" s="104"/>
      <c r="O376" s="206" t="s">
        <v>1250</v>
      </c>
      <c r="P376" s="94" t="s">
        <v>4650</v>
      </c>
      <c r="Q376" s="180">
        <v>133351</v>
      </c>
      <c r="R376" s="258">
        <v>1250</v>
      </c>
      <c r="S376" s="259">
        <v>75</v>
      </c>
      <c r="T376" s="213" t="s">
        <v>5000</v>
      </c>
      <c r="U376" s="213">
        <v>4</v>
      </c>
      <c r="V376" s="213" t="s">
        <v>3439</v>
      </c>
      <c r="W376" s="213" t="s">
        <v>3361</v>
      </c>
      <c r="X376" s="213" t="s">
        <v>3441</v>
      </c>
      <c r="Y376" s="213" t="s">
        <v>4996</v>
      </c>
      <c r="Z376" s="213" t="s">
        <v>4549</v>
      </c>
      <c r="AA376" s="213">
        <v>75</v>
      </c>
      <c r="AB376" s="213">
        <v>75</v>
      </c>
      <c r="AC376" s="207" t="s">
        <v>4530</v>
      </c>
      <c r="AD376"/>
      <c r="AE376" s="206"/>
      <c r="AF376" s="94"/>
      <c r="AG376" s="94"/>
      <c r="AH376" s="94"/>
      <c r="AI376" s="94"/>
      <c r="AJ376" s="94"/>
      <c r="AK376" s="94"/>
      <c r="AL376" s="94"/>
      <c r="AM376" s="254"/>
      <c r="AN376" s="254"/>
      <c r="AO376" s="94"/>
      <c r="AP376" s="94"/>
      <c r="AQ376" s="94"/>
      <c r="AR376" s="94"/>
      <c r="AS376" s="207"/>
    </row>
    <row r="377" spans="13:45" ht="12.75">
      <c r="M377" s="104"/>
      <c r="O377" s="206" t="s">
        <v>1253</v>
      </c>
      <c r="P377" s="94" t="s">
        <v>4653</v>
      </c>
      <c r="Q377" s="180">
        <v>164778</v>
      </c>
      <c r="R377" s="258">
        <v>1250</v>
      </c>
      <c r="S377" s="259">
        <v>75</v>
      </c>
      <c r="T377" s="213" t="s">
        <v>5000</v>
      </c>
      <c r="U377" s="213">
        <v>4</v>
      </c>
      <c r="V377" s="213" t="s">
        <v>3439</v>
      </c>
      <c r="W377" s="213" t="s">
        <v>3361</v>
      </c>
      <c r="X377" s="213" t="s">
        <v>3445</v>
      </c>
      <c r="Y377" s="213" t="s">
        <v>4999</v>
      </c>
      <c r="Z377" s="213" t="s">
        <v>4549</v>
      </c>
      <c r="AA377" s="213">
        <v>75</v>
      </c>
      <c r="AB377" s="213">
        <v>75</v>
      </c>
      <c r="AC377" s="207" t="s">
        <v>4530</v>
      </c>
      <c r="AD377"/>
      <c r="AE377" s="206"/>
      <c r="AF377" s="94"/>
      <c r="AG377" s="94"/>
      <c r="AH377" s="94"/>
      <c r="AI377" s="94"/>
      <c r="AJ377" s="94"/>
      <c r="AK377" s="94"/>
      <c r="AL377" s="94"/>
      <c r="AM377" s="254"/>
      <c r="AN377" s="254"/>
      <c r="AO377" s="94"/>
      <c r="AP377" s="94"/>
      <c r="AQ377" s="94"/>
      <c r="AR377" s="94"/>
      <c r="AS377" s="207"/>
    </row>
    <row r="378" spans="13:45" ht="12.75">
      <c r="M378" s="104"/>
      <c r="O378" s="206" t="s">
        <v>1256</v>
      </c>
      <c r="P378" s="94" t="s">
        <v>4656</v>
      </c>
      <c r="Q378" s="180">
        <v>157561</v>
      </c>
      <c r="R378" s="258">
        <v>1250</v>
      </c>
      <c r="S378" s="259">
        <v>75</v>
      </c>
      <c r="T378" s="213" t="s">
        <v>5000</v>
      </c>
      <c r="U378" s="213">
        <v>4</v>
      </c>
      <c r="V378" s="213" t="s">
        <v>3439</v>
      </c>
      <c r="W378" s="213" t="s">
        <v>3361</v>
      </c>
      <c r="X378" s="213" t="s">
        <v>3445</v>
      </c>
      <c r="Y378" s="213" t="s">
        <v>4996</v>
      </c>
      <c r="Z378" s="213" t="s">
        <v>4549</v>
      </c>
      <c r="AA378" s="213">
        <v>75</v>
      </c>
      <c r="AB378" s="213">
        <v>75</v>
      </c>
      <c r="AC378" s="207" t="s">
        <v>4530</v>
      </c>
      <c r="AD378"/>
      <c r="AE378" s="206"/>
      <c r="AF378" s="94"/>
      <c r="AG378" s="94"/>
      <c r="AH378" s="94"/>
      <c r="AI378" s="94"/>
      <c r="AJ378" s="94"/>
      <c r="AK378" s="94"/>
      <c r="AL378" s="94"/>
      <c r="AM378" s="254"/>
      <c r="AN378" s="254"/>
      <c r="AO378" s="94"/>
      <c r="AP378" s="94"/>
      <c r="AQ378" s="94"/>
      <c r="AR378" s="94"/>
      <c r="AS378" s="207"/>
    </row>
    <row r="379" spans="13:45" ht="12.75">
      <c r="M379" s="104"/>
      <c r="O379" s="206" t="s">
        <v>1259</v>
      </c>
      <c r="P379" s="94" t="s">
        <v>4659</v>
      </c>
      <c r="Q379" s="180">
        <v>128679</v>
      </c>
      <c r="R379" s="258">
        <v>1250</v>
      </c>
      <c r="S379" s="259">
        <v>100</v>
      </c>
      <c r="T379" s="213" t="s">
        <v>5000</v>
      </c>
      <c r="U379" s="213">
        <v>4</v>
      </c>
      <c r="V379" s="213" t="s">
        <v>3439</v>
      </c>
      <c r="W379" s="213" t="s">
        <v>3361</v>
      </c>
      <c r="X379" s="213" t="s">
        <v>3441</v>
      </c>
      <c r="Y379" s="213" t="s">
        <v>4995</v>
      </c>
      <c r="Z379" s="213" t="s">
        <v>3470</v>
      </c>
      <c r="AA379" s="213">
        <v>75</v>
      </c>
      <c r="AB379" s="213">
        <v>85</v>
      </c>
      <c r="AC379" s="207" t="s">
        <v>4530</v>
      </c>
      <c r="AD379"/>
      <c r="AE379" s="206"/>
      <c r="AF379" s="94"/>
      <c r="AG379" s="94"/>
      <c r="AH379" s="94"/>
      <c r="AI379" s="94"/>
      <c r="AJ379" s="94"/>
      <c r="AK379" s="94"/>
      <c r="AL379" s="94"/>
      <c r="AM379" s="254"/>
      <c r="AN379" s="254"/>
      <c r="AO379" s="94"/>
      <c r="AP379" s="94"/>
      <c r="AQ379" s="94"/>
      <c r="AR379" s="94"/>
      <c r="AS379" s="207"/>
    </row>
    <row r="380" spans="13:45" ht="12.75">
      <c r="M380" s="104"/>
      <c r="O380" s="206" t="s">
        <v>1690</v>
      </c>
      <c r="P380" s="94" t="s">
        <v>4662</v>
      </c>
      <c r="Q380" s="180">
        <v>141526</v>
      </c>
      <c r="R380" s="258">
        <v>1250</v>
      </c>
      <c r="S380" s="259">
        <v>100</v>
      </c>
      <c r="T380" s="213" t="s">
        <v>5000</v>
      </c>
      <c r="U380" s="213">
        <v>4</v>
      </c>
      <c r="V380" s="213" t="s">
        <v>3439</v>
      </c>
      <c r="W380" s="213" t="s">
        <v>3361</v>
      </c>
      <c r="X380" s="213" t="s">
        <v>3441</v>
      </c>
      <c r="Y380" s="213" t="s">
        <v>4999</v>
      </c>
      <c r="Z380" s="213" t="s">
        <v>3470</v>
      </c>
      <c r="AA380" s="213">
        <v>75</v>
      </c>
      <c r="AB380" s="213">
        <v>85</v>
      </c>
      <c r="AC380" s="207" t="s">
        <v>4530</v>
      </c>
      <c r="AD380"/>
      <c r="AE380" s="206"/>
      <c r="AF380" s="94"/>
      <c r="AG380" s="94"/>
      <c r="AH380" s="94"/>
      <c r="AI380" s="94"/>
      <c r="AJ380" s="94"/>
      <c r="AK380" s="94"/>
      <c r="AL380" s="94"/>
      <c r="AM380" s="254"/>
      <c r="AN380" s="254"/>
      <c r="AO380" s="94"/>
      <c r="AP380" s="94"/>
      <c r="AQ380" s="94"/>
      <c r="AR380" s="94"/>
      <c r="AS380" s="207"/>
    </row>
    <row r="381" spans="13:45" ht="12.75">
      <c r="M381" s="104"/>
      <c r="O381" s="206" t="s">
        <v>1693</v>
      </c>
      <c r="P381" s="94" t="s">
        <v>2117</v>
      </c>
      <c r="Q381" s="180">
        <v>134309</v>
      </c>
      <c r="R381" s="258">
        <v>1250</v>
      </c>
      <c r="S381" s="259">
        <v>100</v>
      </c>
      <c r="T381" s="213" t="s">
        <v>5000</v>
      </c>
      <c r="U381" s="213">
        <v>4</v>
      </c>
      <c r="V381" s="213" t="s">
        <v>3439</v>
      </c>
      <c r="W381" s="213" t="s">
        <v>3361</v>
      </c>
      <c r="X381" s="213" t="s">
        <v>3441</v>
      </c>
      <c r="Y381" s="213" t="s">
        <v>4996</v>
      </c>
      <c r="Z381" s="213" t="s">
        <v>3470</v>
      </c>
      <c r="AA381" s="213">
        <v>75</v>
      </c>
      <c r="AB381" s="213">
        <v>85</v>
      </c>
      <c r="AC381" s="207" t="s">
        <v>4530</v>
      </c>
      <c r="AD381"/>
      <c r="AE381" s="206"/>
      <c r="AF381" s="94"/>
      <c r="AG381" s="94"/>
      <c r="AH381" s="94"/>
      <c r="AI381" s="94"/>
      <c r="AJ381" s="94"/>
      <c r="AK381" s="94"/>
      <c r="AL381" s="94"/>
      <c r="AM381" s="254"/>
      <c r="AN381" s="254"/>
      <c r="AO381" s="94"/>
      <c r="AP381" s="94"/>
      <c r="AQ381" s="94"/>
      <c r="AR381" s="94"/>
      <c r="AS381" s="207"/>
    </row>
    <row r="382" spans="13:45" ht="12.75">
      <c r="M382" s="104"/>
      <c r="O382" s="206" t="s">
        <v>1696</v>
      </c>
      <c r="P382" s="94" t="s">
        <v>2120</v>
      </c>
      <c r="Q382" s="180">
        <v>165735</v>
      </c>
      <c r="R382" s="258">
        <v>1250</v>
      </c>
      <c r="S382" s="259">
        <v>100</v>
      </c>
      <c r="T382" s="213" t="s">
        <v>5000</v>
      </c>
      <c r="U382" s="213">
        <v>4</v>
      </c>
      <c r="V382" s="213" t="s">
        <v>3439</v>
      </c>
      <c r="W382" s="213" t="s">
        <v>3361</v>
      </c>
      <c r="X382" s="213" t="s">
        <v>3445</v>
      </c>
      <c r="Y382" s="213" t="s">
        <v>4999</v>
      </c>
      <c r="Z382" s="213" t="s">
        <v>3470</v>
      </c>
      <c r="AA382" s="213">
        <v>75</v>
      </c>
      <c r="AB382" s="213">
        <v>85</v>
      </c>
      <c r="AC382" s="207" t="s">
        <v>4530</v>
      </c>
      <c r="AD382"/>
      <c r="AE382" s="206"/>
      <c r="AF382" s="94"/>
      <c r="AG382" s="94"/>
      <c r="AH382" s="94"/>
      <c r="AI382" s="94"/>
      <c r="AJ382" s="94"/>
      <c r="AK382" s="94"/>
      <c r="AL382" s="94"/>
      <c r="AM382" s="254"/>
      <c r="AN382" s="254"/>
      <c r="AO382" s="94"/>
      <c r="AP382" s="94"/>
      <c r="AQ382" s="94"/>
      <c r="AR382" s="94"/>
      <c r="AS382" s="207"/>
    </row>
    <row r="383" spans="13:45" ht="12.75">
      <c r="M383" s="104"/>
      <c r="O383" s="206" t="s">
        <v>1699</v>
      </c>
      <c r="P383" s="94" t="s">
        <v>2123</v>
      </c>
      <c r="Q383" s="180">
        <v>158519</v>
      </c>
      <c r="R383" s="258">
        <v>1250</v>
      </c>
      <c r="S383" s="259">
        <v>100</v>
      </c>
      <c r="T383" s="213" t="s">
        <v>5000</v>
      </c>
      <c r="U383" s="213">
        <v>4</v>
      </c>
      <c r="V383" s="213" t="s">
        <v>3439</v>
      </c>
      <c r="W383" s="213" t="s">
        <v>3361</v>
      </c>
      <c r="X383" s="213" t="s">
        <v>3445</v>
      </c>
      <c r="Y383" s="213" t="s">
        <v>4996</v>
      </c>
      <c r="Z383" s="213" t="s">
        <v>3470</v>
      </c>
      <c r="AA383" s="213">
        <v>75</v>
      </c>
      <c r="AB383" s="213">
        <v>85</v>
      </c>
      <c r="AC383" s="207" t="s">
        <v>4530</v>
      </c>
      <c r="AD383"/>
      <c r="AE383" s="206"/>
      <c r="AF383" s="94"/>
      <c r="AG383" s="94"/>
      <c r="AH383" s="94"/>
      <c r="AI383" s="94"/>
      <c r="AJ383" s="94"/>
      <c r="AK383" s="94"/>
      <c r="AL383" s="94"/>
      <c r="AM383" s="254"/>
      <c r="AN383" s="254"/>
      <c r="AO383" s="94"/>
      <c r="AP383" s="94"/>
      <c r="AQ383" s="94"/>
      <c r="AR383" s="94"/>
      <c r="AS383" s="207"/>
    </row>
    <row r="384" spans="13:45" ht="12.75">
      <c r="M384" s="104"/>
      <c r="O384" s="206" t="s">
        <v>1702</v>
      </c>
      <c r="P384" s="94" t="s">
        <v>2126</v>
      </c>
      <c r="Q384" s="180">
        <v>156427</v>
      </c>
      <c r="R384" s="258">
        <v>1600</v>
      </c>
      <c r="S384" s="259">
        <v>75</v>
      </c>
      <c r="T384" s="213" t="s">
        <v>5000</v>
      </c>
      <c r="U384" s="213">
        <v>4</v>
      </c>
      <c r="V384" s="213" t="s">
        <v>3439</v>
      </c>
      <c r="W384" s="213" t="s">
        <v>3361</v>
      </c>
      <c r="X384" s="213" t="s">
        <v>3441</v>
      </c>
      <c r="Y384" s="213" t="s">
        <v>4995</v>
      </c>
      <c r="Z384" s="213" t="s">
        <v>4549</v>
      </c>
      <c r="AA384" s="213">
        <v>75</v>
      </c>
      <c r="AB384" s="213">
        <v>75</v>
      </c>
      <c r="AC384" s="207" t="s">
        <v>4530</v>
      </c>
      <c r="AD384"/>
      <c r="AE384" s="206"/>
      <c r="AF384" s="94"/>
      <c r="AG384" s="94"/>
      <c r="AH384" s="94"/>
      <c r="AI384" s="94"/>
      <c r="AJ384" s="94"/>
      <c r="AK384" s="94"/>
      <c r="AL384" s="94"/>
      <c r="AM384" s="254"/>
      <c r="AN384" s="254"/>
      <c r="AO384" s="94"/>
      <c r="AP384" s="94"/>
      <c r="AQ384" s="94"/>
      <c r="AR384" s="94"/>
      <c r="AS384" s="207"/>
    </row>
    <row r="385" spans="13:45" ht="12.75">
      <c r="M385" s="104"/>
      <c r="O385" s="206" t="s">
        <v>1705</v>
      </c>
      <c r="P385" s="94" t="s">
        <v>2129</v>
      </c>
      <c r="Q385" s="180">
        <v>169276</v>
      </c>
      <c r="R385" s="258">
        <v>1600</v>
      </c>
      <c r="S385" s="259">
        <v>75</v>
      </c>
      <c r="T385" s="213" t="s">
        <v>5000</v>
      </c>
      <c r="U385" s="213">
        <v>4</v>
      </c>
      <c r="V385" s="213" t="s">
        <v>3439</v>
      </c>
      <c r="W385" s="213" t="s">
        <v>3361</v>
      </c>
      <c r="X385" s="213" t="s">
        <v>3441</v>
      </c>
      <c r="Y385" s="213" t="s">
        <v>4999</v>
      </c>
      <c r="Z385" s="213" t="s">
        <v>4549</v>
      </c>
      <c r="AA385" s="213">
        <v>75</v>
      </c>
      <c r="AB385" s="213">
        <v>75</v>
      </c>
      <c r="AC385" s="207" t="s">
        <v>4530</v>
      </c>
      <c r="AD385"/>
      <c r="AE385" s="206"/>
      <c r="AF385" s="94"/>
      <c r="AG385" s="94"/>
      <c r="AH385" s="94"/>
      <c r="AI385" s="94"/>
      <c r="AJ385" s="94"/>
      <c r="AK385" s="94"/>
      <c r="AL385" s="94"/>
      <c r="AM385" s="254"/>
      <c r="AN385" s="254"/>
      <c r="AO385" s="94"/>
      <c r="AP385" s="94"/>
      <c r="AQ385" s="94"/>
      <c r="AR385" s="94"/>
      <c r="AS385" s="207"/>
    </row>
    <row r="386" spans="13:45" ht="12.75">
      <c r="M386" s="104"/>
      <c r="O386" s="206" t="s">
        <v>1708</v>
      </c>
      <c r="P386" s="94" t="s">
        <v>2132</v>
      </c>
      <c r="Q386" s="180">
        <v>162057</v>
      </c>
      <c r="R386" s="258">
        <v>1600</v>
      </c>
      <c r="S386" s="259">
        <v>75</v>
      </c>
      <c r="T386" s="213" t="s">
        <v>5000</v>
      </c>
      <c r="U386" s="213">
        <v>4</v>
      </c>
      <c r="V386" s="213" t="s">
        <v>3439</v>
      </c>
      <c r="W386" s="213" t="s">
        <v>3361</v>
      </c>
      <c r="X386" s="213" t="s">
        <v>3441</v>
      </c>
      <c r="Y386" s="213" t="s">
        <v>4996</v>
      </c>
      <c r="Z386" s="213" t="s">
        <v>4549</v>
      </c>
      <c r="AA386" s="213">
        <v>75</v>
      </c>
      <c r="AB386" s="213">
        <v>75</v>
      </c>
      <c r="AC386" s="207" t="s">
        <v>4530</v>
      </c>
      <c r="AD386"/>
      <c r="AE386" s="206"/>
      <c r="AF386" s="94"/>
      <c r="AG386" s="94"/>
      <c r="AH386" s="94"/>
      <c r="AI386" s="94"/>
      <c r="AJ386" s="94"/>
      <c r="AK386" s="94"/>
      <c r="AL386" s="94"/>
      <c r="AM386" s="254"/>
      <c r="AN386" s="254"/>
      <c r="AO386" s="94"/>
      <c r="AP386" s="94"/>
      <c r="AQ386" s="94"/>
      <c r="AR386" s="94"/>
      <c r="AS386" s="207"/>
    </row>
    <row r="387" spans="13:45" ht="12.75">
      <c r="M387" s="104"/>
      <c r="O387" s="206" t="s">
        <v>1711</v>
      </c>
      <c r="P387" s="94" t="s">
        <v>2135</v>
      </c>
      <c r="Q387" s="180">
        <v>193483</v>
      </c>
      <c r="R387" s="258">
        <v>1600</v>
      </c>
      <c r="S387" s="259">
        <v>75</v>
      </c>
      <c r="T387" s="213" t="s">
        <v>5000</v>
      </c>
      <c r="U387" s="213">
        <v>4</v>
      </c>
      <c r="V387" s="213" t="s">
        <v>3439</v>
      </c>
      <c r="W387" s="213" t="s">
        <v>3361</v>
      </c>
      <c r="X387" s="213" t="s">
        <v>3445</v>
      </c>
      <c r="Y387" s="213" t="s">
        <v>4999</v>
      </c>
      <c r="Z387" s="213" t="s">
        <v>4549</v>
      </c>
      <c r="AA387" s="213">
        <v>75</v>
      </c>
      <c r="AB387" s="213">
        <v>75</v>
      </c>
      <c r="AC387" s="207" t="s">
        <v>4530</v>
      </c>
      <c r="AD387"/>
      <c r="AE387" s="206"/>
      <c r="AF387" s="94"/>
      <c r="AG387" s="94"/>
      <c r="AH387" s="94"/>
      <c r="AI387" s="94"/>
      <c r="AJ387" s="94"/>
      <c r="AK387" s="94"/>
      <c r="AL387" s="94"/>
      <c r="AM387" s="254"/>
      <c r="AN387" s="254"/>
      <c r="AO387" s="94"/>
      <c r="AP387" s="94"/>
      <c r="AQ387" s="94"/>
      <c r="AR387" s="94"/>
      <c r="AS387" s="207"/>
    </row>
    <row r="388" spans="13:45" ht="12.75">
      <c r="M388" s="104"/>
      <c r="O388" s="206" t="s">
        <v>1714</v>
      </c>
      <c r="P388" s="94" t="s">
        <v>2138</v>
      </c>
      <c r="Q388" s="180">
        <v>186267</v>
      </c>
      <c r="R388" s="258">
        <v>1600</v>
      </c>
      <c r="S388" s="259">
        <v>75</v>
      </c>
      <c r="T388" s="213" t="s">
        <v>5000</v>
      </c>
      <c r="U388" s="213">
        <v>4</v>
      </c>
      <c r="V388" s="213" t="s">
        <v>3439</v>
      </c>
      <c r="W388" s="213" t="s">
        <v>3361</v>
      </c>
      <c r="X388" s="213" t="s">
        <v>3445</v>
      </c>
      <c r="Y388" s="213" t="s">
        <v>4996</v>
      </c>
      <c r="Z388" s="213" t="s">
        <v>4549</v>
      </c>
      <c r="AA388" s="213">
        <v>75</v>
      </c>
      <c r="AB388" s="213">
        <v>75</v>
      </c>
      <c r="AC388" s="207" t="s">
        <v>4530</v>
      </c>
      <c r="AD388"/>
      <c r="AE388" s="206"/>
      <c r="AF388" s="94"/>
      <c r="AG388" s="94"/>
      <c r="AH388" s="94"/>
      <c r="AI388" s="94"/>
      <c r="AJ388" s="94"/>
      <c r="AK388" s="94"/>
      <c r="AL388" s="94"/>
      <c r="AM388" s="254"/>
      <c r="AN388" s="254"/>
      <c r="AO388" s="94"/>
      <c r="AP388" s="94"/>
      <c r="AQ388" s="94"/>
      <c r="AR388" s="94"/>
      <c r="AS388" s="207"/>
    </row>
    <row r="389" spans="13:45" ht="12.75">
      <c r="M389" s="104"/>
      <c r="O389" s="206" t="s">
        <v>1717</v>
      </c>
      <c r="P389" s="94" t="s">
        <v>1332</v>
      </c>
      <c r="Q389" s="180">
        <v>155458</v>
      </c>
      <c r="R389" s="258">
        <v>1600</v>
      </c>
      <c r="S389" s="259">
        <v>100</v>
      </c>
      <c r="T389" s="213" t="s">
        <v>5000</v>
      </c>
      <c r="U389" s="213">
        <v>4</v>
      </c>
      <c r="V389" s="213" t="s">
        <v>3439</v>
      </c>
      <c r="W389" s="213" t="s">
        <v>3361</v>
      </c>
      <c r="X389" s="213" t="s">
        <v>3441</v>
      </c>
      <c r="Y389" s="213" t="s">
        <v>4995</v>
      </c>
      <c r="Z389" s="213" t="s">
        <v>3470</v>
      </c>
      <c r="AA389" s="213">
        <v>75</v>
      </c>
      <c r="AB389" s="213">
        <v>85</v>
      </c>
      <c r="AC389" s="207" t="s">
        <v>4530</v>
      </c>
      <c r="AD389"/>
      <c r="AE389" s="206"/>
      <c r="AF389" s="94"/>
      <c r="AG389" s="94"/>
      <c r="AH389" s="94"/>
      <c r="AI389" s="94"/>
      <c r="AJ389" s="94"/>
      <c r="AK389" s="94"/>
      <c r="AL389" s="94"/>
      <c r="AM389" s="254"/>
      <c r="AN389" s="254"/>
      <c r="AO389" s="94"/>
      <c r="AP389" s="94"/>
      <c r="AQ389" s="94"/>
      <c r="AR389" s="94"/>
      <c r="AS389" s="207"/>
    </row>
    <row r="390" spans="13:45" ht="12.75">
      <c r="M390" s="104"/>
      <c r="O390" s="206" t="s">
        <v>1720</v>
      </c>
      <c r="P390" s="94" t="s">
        <v>1335</v>
      </c>
      <c r="Q390" s="180">
        <v>168307</v>
      </c>
      <c r="R390" s="258">
        <v>1600</v>
      </c>
      <c r="S390" s="259">
        <v>100</v>
      </c>
      <c r="T390" s="213" t="s">
        <v>5000</v>
      </c>
      <c r="U390" s="213">
        <v>4</v>
      </c>
      <c r="V390" s="213" t="s">
        <v>3439</v>
      </c>
      <c r="W390" s="213" t="s">
        <v>3361</v>
      </c>
      <c r="X390" s="213" t="s">
        <v>3441</v>
      </c>
      <c r="Y390" s="213" t="s">
        <v>4999</v>
      </c>
      <c r="Z390" s="213" t="s">
        <v>3470</v>
      </c>
      <c r="AA390" s="213">
        <v>75</v>
      </c>
      <c r="AB390" s="213">
        <v>85</v>
      </c>
      <c r="AC390" s="207" t="s">
        <v>4530</v>
      </c>
      <c r="AD390"/>
      <c r="AE390" s="206"/>
      <c r="AF390" s="94"/>
      <c r="AG390" s="94"/>
      <c r="AH390" s="94"/>
      <c r="AI390" s="94"/>
      <c r="AJ390" s="94"/>
      <c r="AK390" s="94"/>
      <c r="AL390" s="94"/>
      <c r="AM390" s="254"/>
      <c r="AN390" s="254"/>
      <c r="AO390" s="94"/>
      <c r="AP390" s="94"/>
      <c r="AQ390" s="94"/>
      <c r="AR390" s="94"/>
      <c r="AS390" s="207"/>
    </row>
    <row r="391" spans="13:45" ht="12.75">
      <c r="M391" s="104"/>
      <c r="O391" s="206" t="s">
        <v>1723</v>
      </c>
      <c r="P391" s="94" t="s">
        <v>1338</v>
      </c>
      <c r="Q391" s="180">
        <v>161088</v>
      </c>
      <c r="R391" s="258">
        <v>1600</v>
      </c>
      <c r="S391" s="259">
        <v>100</v>
      </c>
      <c r="T391" s="213" t="s">
        <v>5000</v>
      </c>
      <c r="U391" s="213">
        <v>4</v>
      </c>
      <c r="V391" s="213" t="s">
        <v>3439</v>
      </c>
      <c r="W391" s="213" t="s">
        <v>3361</v>
      </c>
      <c r="X391" s="213" t="s">
        <v>3441</v>
      </c>
      <c r="Y391" s="213" t="s">
        <v>4996</v>
      </c>
      <c r="Z391" s="213" t="s">
        <v>3470</v>
      </c>
      <c r="AA391" s="213">
        <v>75</v>
      </c>
      <c r="AB391" s="213">
        <v>85</v>
      </c>
      <c r="AC391" s="207" t="s">
        <v>4530</v>
      </c>
      <c r="AD391"/>
      <c r="AE391" s="206"/>
      <c r="AF391" s="94"/>
      <c r="AG391" s="94"/>
      <c r="AH391" s="94"/>
      <c r="AI391" s="94"/>
      <c r="AJ391" s="94"/>
      <c r="AK391" s="94"/>
      <c r="AL391" s="94"/>
      <c r="AM391" s="254"/>
      <c r="AN391" s="254"/>
      <c r="AO391" s="94"/>
      <c r="AP391" s="94"/>
      <c r="AQ391" s="94"/>
      <c r="AR391" s="94"/>
      <c r="AS391" s="207"/>
    </row>
    <row r="392" spans="13:45" ht="12.75">
      <c r="M392" s="104"/>
      <c r="O392" s="206" t="s">
        <v>1726</v>
      </c>
      <c r="P392" s="94" t="s">
        <v>1341</v>
      </c>
      <c r="Q392" s="180">
        <v>192515</v>
      </c>
      <c r="R392" s="258">
        <v>1600</v>
      </c>
      <c r="S392" s="259">
        <v>100</v>
      </c>
      <c r="T392" s="213" t="s">
        <v>5000</v>
      </c>
      <c r="U392" s="213">
        <v>4</v>
      </c>
      <c r="V392" s="213" t="s">
        <v>3439</v>
      </c>
      <c r="W392" s="213" t="s">
        <v>3361</v>
      </c>
      <c r="X392" s="213" t="s">
        <v>3445</v>
      </c>
      <c r="Y392" s="213" t="s">
        <v>4999</v>
      </c>
      <c r="Z392" s="213" t="s">
        <v>3470</v>
      </c>
      <c r="AA392" s="213">
        <v>75</v>
      </c>
      <c r="AB392" s="213">
        <v>85</v>
      </c>
      <c r="AC392" s="207" t="s">
        <v>4530</v>
      </c>
      <c r="AD392"/>
      <c r="AE392" s="206"/>
      <c r="AF392" s="94"/>
      <c r="AG392" s="94"/>
      <c r="AH392" s="94"/>
      <c r="AI392" s="94"/>
      <c r="AJ392" s="94"/>
      <c r="AK392" s="94"/>
      <c r="AL392" s="94"/>
      <c r="AM392" s="254"/>
      <c r="AN392" s="254"/>
      <c r="AO392" s="94"/>
      <c r="AP392" s="94"/>
      <c r="AQ392" s="94"/>
      <c r="AR392" s="94"/>
      <c r="AS392" s="207"/>
    </row>
    <row r="393" spans="13:45" ht="12.75">
      <c r="M393" s="104"/>
      <c r="O393" s="206" t="s">
        <v>1729</v>
      </c>
      <c r="P393" s="94" t="s">
        <v>1344</v>
      </c>
      <c r="Q393" s="180">
        <v>185298</v>
      </c>
      <c r="R393" s="258">
        <v>1600</v>
      </c>
      <c r="S393" s="259">
        <v>100</v>
      </c>
      <c r="T393" s="213" t="s">
        <v>5000</v>
      </c>
      <c r="U393" s="213">
        <v>4</v>
      </c>
      <c r="V393" s="213" t="s">
        <v>3439</v>
      </c>
      <c r="W393" s="213" t="s">
        <v>3361</v>
      </c>
      <c r="X393" s="213" t="s">
        <v>3445</v>
      </c>
      <c r="Y393" s="213" t="s">
        <v>4996</v>
      </c>
      <c r="Z393" s="213" t="s">
        <v>3470</v>
      </c>
      <c r="AA393" s="213">
        <v>75</v>
      </c>
      <c r="AB393" s="213">
        <v>85</v>
      </c>
      <c r="AC393" s="207" t="s">
        <v>4530</v>
      </c>
      <c r="AD393"/>
      <c r="AE393" s="206"/>
      <c r="AF393" s="94"/>
      <c r="AG393" s="94"/>
      <c r="AH393" s="94"/>
      <c r="AI393" s="94"/>
      <c r="AJ393" s="94"/>
      <c r="AK393" s="94"/>
      <c r="AL393" s="94"/>
      <c r="AM393" s="254"/>
      <c r="AN393" s="254"/>
      <c r="AO393" s="94"/>
      <c r="AP393" s="94"/>
      <c r="AQ393" s="94"/>
      <c r="AR393" s="94"/>
      <c r="AS393" s="207"/>
    </row>
    <row r="394" spans="13:45" ht="12.75">
      <c r="M394" s="104"/>
      <c r="O394" s="206" t="s">
        <v>1732</v>
      </c>
      <c r="P394" s="94" t="s">
        <v>1347</v>
      </c>
      <c r="Q394" s="180">
        <v>165838</v>
      </c>
      <c r="R394" s="258">
        <v>2000</v>
      </c>
      <c r="S394" s="259">
        <v>75</v>
      </c>
      <c r="T394" s="213" t="s">
        <v>5000</v>
      </c>
      <c r="U394" s="213">
        <v>4</v>
      </c>
      <c r="V394" s="213" t="s">
        <v>3439</v>
      </c>
      <c r="W394" s="213" t="s">
        <v>3361</v>
      </c>
      <c r="X394" s="213" t="s">
        <v>3441</v>
      </c>
      <c r="Y394" s="213" t="s">
        <v>4995</v>
      </c>
      <c r="Z394" s="213" t="s">
        <v>4549</v>
      </c>
      <c r="AA394" s="213">
        <v>75</v>
      </c>
      <c r="AB394" s="213">
        <v>75</v>
      </c>
      <c r="AC394" s="207" t="s">
        <v>4530</v>
      </c>
      <c r="AD394"/>
      <c r="AE394" s="206"/>
      <c r="AF394" s="94"/>
      <c r="AG394" s="94"/>
      <c r="AH394" s="94"/>
      <c r="AI394" s="94"/>
      <c r="AJ394" s="94"/>
      <c r="AK394" s="94"/>
      <c r="AL394" s="94"/>
      <c r="AM394" s="254"/>
      <c r="AN394" s="254"/>
      <c r="AO394" s="94"/>
      <c r="AP394" s="94"/>
      <c r="AQ394" s="94"/>
      <c r="AR394" s="94"/>
      <c r="AS394" s="207"/>
    </row>
    <row r="395" spans="13:45" ht="12.75">
      <c r="M395" s="104"/>
      <c r="O395" s="206" t="s">
        <v>1735</v>
      </c>
      <c r="P395" s="94" t="s">
        <v>1350</v>
      </c>
      <c r="Q395" s="180">
        <v>178686</v>
      </c>
      <c r="R395" s="258">
        <v>2000</v>
      </c>
      <c r="S395" s="259">
        <v>75</v>
      </c>
      <c r="T395" s="213" t="s">
        <v>5000</v>
      </c>
      <c r="U395" s="213">
        <v>4</v>
      </c>
      <c r="V395" s="213" t="s">
        <v>3439</v>
      </c>
      <c r="W395" s="213" t="s">
        <v>3361</v>
      </c>
      <c r="X395" s="213" t="s">
        <v>3441</v>
      </c>
      <c r="Y395" s="213" t="s">
        <v>4999</v>
      </c>
      <c r="Z395" s="213" t="s">
        <v>4549</v>
      </c>
      <c r="AA395" s="213">
        <v>75</v>
      </c>
      <c r="AB395" s="213">
        <v>75</v>
      </c>
      <c r="AC395" s="207" t="s">
        <v>4530</v>
      </c>
      <c r="AD395"/>
      <c r="AE395" s="206"/>
      <c r="AF395" s="94"/>
      <c r="AG395" s="94"/>
      <c r="AH395" s="94"/>
      <c r="AI395" s="94"/>
      <c r="AJ395" s="94"/>
      <c r="AK395" s="94"/>
      <c r="AL395" s="94"/>
      <c r="AM395" s="254"/>
      <c r="AN395" s="254"/>
      <c r="AO395" s="94"/>
      <c r="AP395" s="94"/>
      <c r="AQ395" s="94"/>
      <c r="AR395" s="94"/>
      <c r="AS395" s="207"/>
    </row>
    <row r="396" spans="13:45" ht="12.75">
      <c r="M396" s="104"/>
      <c r="O396" s="206" t="s">
        <v>1738</v>
      </c>
      <c r="P396" s="94" t="s">
        <v>1353</v>
      </c>
      <c r="Q396" s="180">
        <v>171470</v>
      </c>
      <c r="R396" s="258">
        <v>2000</v>
      </c>
      <c r="S396" s="259">
        <v>75</v>
      </c>
      <c r="T396" s="213" t="s">
        <v>5000</v>
      </c>
      <c r="U396" s="213">
        <v>4</v>
      </c>
      <c r="V396" s="213" t="s">
        <v>3439</v>
      </c>
      <c r="W396" s="213" t="s">
        <v>3361</v>
      </c>
      <c r="X396" s="213" t="s">
        <v>3441</v>
      </c>
      <c r="Y396" s="213" t="s">
        <v>4996</v>
      </c>
      <c r="Z396" s="213" t="s">
        <v>4549</v>
      </c>
      <c r="AA396" s="213">
        <v>75</v>
      </c>
      <c r="AB396" s="213">
        <v>75</v>
      </c>
      <c r="AC396" s="207" t="s">
        <v>4530</v>
      </c>
      <c r="AD396"/>
      <c r="AE396" s="206"/>
      <c r="AF396" s="94"/>
      <c r="AG396" s="94"/>
      <c r="AH396" s="94"/>
      <c r="AI396" s="94"/>
      <c r="AJ396" s="94"/>
      <c r="AK396" s="94"/>
      <c r="AL396" s="94"/>
      <c r="AM396" s="254"/>
      <c r="AN396" s="254"/>
      <c r="AO396" s="94"/>
      <c r="AP396" s="94"/>
      <c r="AQ396" s="94"/>
      <c r="AR396" s="94"/>
      <c r="AS396" s="207"/>
    </row>
    <row r="397" spans="13:45" ht="12.75">
      <c r="M397" s="104"/>
      <c r="O397" s="206" t="s">
        <v>1741</v>
      </c>
      <c r="P397" s="94" t="s">
        <v>1356</v>
      </c>
      <c r="Q397" s="180">
        <v>202895</v>
      </c>
      <c r="R397" s="258">
        <v>2000</v>
      </c>
      <c r="S397" s="259">
        <v>75</v>
      </c>
      <c r="T397" s="213" t="s">
        <v>5000</v>
      </c>
      <c r="U397" s="213">
        <v>4</v>
      </c>
      <c r="V397" s="213" t="s">
        <v>3439</v>
      </c>
      <c r="W397" s="213" t="s">
        <v>3361</v>
      </c>
      <c r="X397" s="213" t="s">
        <v>3445</v>
      </c>
      <c r="Y397" s="213" t="s">
        <v>4999</v>
      </c>
      <c r="Z397" s="213" t="s">
        <v>4549</v>
      </c>
      <c r="AA397" s="213">
        <v>75</v>
      </c>
      <c r="AB397" s="213">
        <v>75</v>
      </c>
      <c r="AC397" s="207" t="s">
        <v>4530</v>
      </c>
      <c r="AD397"/>
      <c r="AE397" s="206"/>
      <c r="AF397" s="94"/>
      <c r="AG397" s="94"/>
      <c r="AH397" s="94"/>
      <c r="AI397" s="94"/>
      <c r="AJ397" s="94"/>
      <c r="AK397" s="94"/>
      <c r="AL397" s="94"/>
      <c r="AM397" s="254"/>
      <c r="AN397" s="254"/>
      <c r="AO397" s="94"/>
      <c r="AP397" s="94"/>
      <c r="AQ397" s="94"/>
      <c r="AR397" s="94"/>
      <c r="AS397" s="207"/>
    </row>
    <row r="398" spans="13:45" ht="12.75">
      <c r="M398" s="104"/>
      <c r="O398" s="206" t="s">
        <v>1744</v>
      </c>
      <c r="P398" s="94" t="s">
        <v>1359</v>
      </c>
      <c r="Q398" s="180">
        <v>195677</v>
      </c>
      <c r="R398" s="258">
        <v>2000</v>
      </c>
      <c r="S398" s="259">
        <v>75</v>
      </c>
      <c r="T398" s="213" t="s">
        <v>5000</v>
      </c>
      <c r="U398" s="213">
        <v>4</v>
      </c>
      <c r="V398" s="213" t="s">
        <v>3439</v>
      </c>
      <c r="W398" s="213" t="s">
        <v>3361</v>
      </c>
      <c r="X398" s="213" t="s">
        <v>3445</v>
      </c>
      <c r="Y398" s="213" t="s">
        <v>4996</v>
      </c>
      <c r="Z398" s="213" t="s">
        <v>4549</v>
      </c>
      <c r="AA398" s="213">
        <v>75</v>
      </c>
      <c r="AB398" s="213">
        <v>75</v>
      </c>
      <c r="AC398" s="207" t="s">
        <v>4530</v>
      </c>
      <c r="AD398"/>
      <c r="AE398" s="206"/>
      <c r="AF398" s="94"/>
      <c r="AG398" s="94"/>
      <c r="AH398" s="94"/>
      <c r="AI398" s="94"/>
      <c r="AJ398" s="94"/>
      <c r="AK398" s="94"/>
      <c r="AL398" s="94"/>
      <c r="AM398" s="254"/>
      <c r="AN398" s="254"/>
      <c r="AO398" s="94"/>
      <c r="AP398" s="94"/>
      <c r="AQ398" s="94"/>
      <c r="AR398" s="94"/>
      <c r="AS398" s="207"/>
    </row>
    <row r="399" spans="13:45" ht="12.75">
      <c r="M399" s="104"/>
      <c r="O399" s="206" t="s">
        <v>2707</v>
      </c>
      <c r="P399" s="94" t="s">
        <v>4699</v>
      </c>
      <c r="Q399" s="180">
        <v>198371</v>
      </c>
      <c r="R399" s="258">
        <v>2000</v>
      </c>
      <c r="S399" s="259">
        <v>100</v>
      </c>
      <c r="T399" s="213" t="s">
        <v>5000</v>
      </c>
      <c r="U399" s="213">
        <v>4</v>
      </c>
      <c r="V399" s="213" t="s">
        <v>3439</v>
      </c>
      <c r="W399" s="213" t="s">
        <v>3361</v>
      </c>
      <c r="X399" s="213" t="s">
        <v>3441</v>
      </c>
      <c r="Y399" s="213" t="s">
        <v>4995</v>
      </c>
      <c r="Z399" s="213" t="s">
        <v>3470</v>
      </c>
      <c r="AA399" s="213">
        <v>75</v>
      </c>
      <c r="AB399" s="213">
        <v>85</v>
      </c>
      <c r="AC399" s="207" t="s">
        <v>4530</v>
      </c>
      <c r="AD399"/>
      <c r="AE399" s="206"/>
      <c r="AF399" s="94"/>
      <c r="AG399" s="94"/>
      <c r="AH399" s="94"/>
      <c r="AI399" s="94"/>
      <c r="AJ399" s="94"/>
      <c r="AK399" s="94"/>
      <c r="AL399" s="94"/>
      <c r="AM399" s="254"/>
      <c r="AN399" s="254"/>
      <c r="AO399" s="94"/>
      <c r="AP399" s="94"/>
      <c r="AQ399" s="94"/>
      <c r="AR399" s="94"/>
      <c r="AS399" s="207"/>
    </row>
    <row r="400" spans="13:45" ht="12.75">
      <c r="M400" s="104"/>
      <c r="O400" s="206" t="s">
        <v>2710</v>
      </c>
      <c r="P400" s="94" t="s">
        <v>4702</v>
      </c>
      <c r="Q400" s="180">
        <v>211220</v>
      </c>
      <c r="R400" s="258">
        <v>2000</v>
      </c>
      <c r="S400" s="259">
        <v>100</v>
      </c>
      <c r="T400" s="213" t="s">
        <v>5000</v>
      </c>
      <c r="U400" s="213">
        <v>4</v>
      </c>
      <c r="V400" s="213" t="s">
        <v>3439</v>
      </c>
      <c r="W400" s="213" t="s">
        <v>3361</v>
      </c>
      <c r="X400" s="213" t="s">
        <v>3441</v>
      </c>
      <c r="Y400" s="213" t="s">
        <v>4999</v>
      </c>
      <c r="Z400" s="213" t="s">
        <v>3470</v>
      </c>
      <c r="AA400" s="213">
        <v>75</v>
      </c>
      <c r="AB400" s="213">
        <v>85</v>
      </c>
      <c r="AC400" s="207" t="s">
        <v>4530</v>
      </c>
      <c r="AD400"/>
      <c r="AE400" s="206"/>
      <c r="AF400" s="94"/>
      <c r="AG400" s="94"/>
      <c r="AH400" s="94"/>
      <c r="AI400" s="94"/>
      <c r="AJ400" s="94"/>
      <c r="AK400" s="94"/>
      <c r="AL400" s="94"/>
      <c r="AM400" s="254"/>
      <c r="AN400" s="254"/>
      <c r="AO400" s="94"/>
      <c r="AP400" s="94"/>
      <c r="AQ400" s="94"/>
      <c r="AR400" s="94"/>
      <c r="AS400" s="207"/>
    </row>
    <row r="401" spans="13:45" ht="12.75">
      <c r="M401" s="104"/>
      <c r="O401" s="206" t="s">
        <v>2713</v>
      </c>
      <c r="P401" s="94" t="s">
        <v>4705</v>
      </c>
      <c r="Q401" s="180">
        <v>204001</v>
      </c>
      <c r="R401" s="258">
        <v>2000</v>
      </c>
      <c r="S401" s="259">
        <v>100</v>
      </c>
      <c r="T401" s="213" t="s">
        <v>5000</v>
      </c>
      <c r="U401" s="213">
        <v>4</v>
      </c>
      <c r="V401" s="213" t="s">
        <v>3439</v>
      </c>
      <c r="W401" s="213" t="s">
        <v>3361</v>
      </c>
      <c r="X401" s="213" t="s">
        <v>3441</v>
      </c>
      <c r="Y401" s="213" t="s">
        <v>4996</v>
      </c>
      <c r="Z401" s="213" t="s">
        <v>3470</v>
      </c>
      <c r="AA401" s="213">
        <v>75</v>
      </c>
      <c r="AB401" s="213">
        <v>85</v>
      </c>
      <c r="AC401" s="207" t="s">
        <v>4530</v>
      </c>
      <c r="AD401"/>
      <c r="AE401" s="206"/>
      <c r="AF401" s="94"/>
      <c r="AG401" s="94"/>
      <c r="AH401" s="94"/>
      <c r="AI401" s="94"/>
      <c r="AJ401" s="94"/>
      <c r="AK401" s="94"/>
      <c r="AL401" s="94"/>
      <c r="AM401" s="254"/>
      <c r="AN401" s="254"/>
      <c r="AO401" s="94"/>
      <c r="AP401" s="94"/>
      <c r="AQ401" s="94"/>
      <c r="AR401" s="94"/>
      <c r="AS401" s="207"/>
    </row>
    <row r="402" spans="13:45" ht="12.75">
      <c r="M402" s="104"/>
      <c r="O402" s="206" t="s">
        <v>2716</v>
      </c>
      <c r="P402" s="94" t="s">
        <v>4708</v>
      </c>
      <c r="Q402" s="180">
        <v>235428</v>
      </c>
      <c r="R402" s="258">
        <v>2000</v>
      </c>
      <c r="S402" s="259">
        <v>100</v>
      </c>
      <c r="T402" s="213" t="s">
        <v>5000</v>
      </c>
      <c r="U402" s="213">
        <v>4</v>
      </c>
      <c r="V402" s="213" t="s">
        <v>3439</v>
      </c>
      <c r="W402" s="213" t="s">
        <v>3361</v>
      </c>
      <c r="X402" s="213" t="s">
        <v>3445</v>
      </c>
      <c r="Y402" s="213" t="s">
        <v>4999</v>
      </c>
      <c r="Z402" s="213" t="s">
        <v>3470</v>
      </c>
      <c r="AA402" s="213">
        <v>75</v>
      </c>
      <c r="AB402" s="213">
        <v>85</v>
      </c>
      <c r="AC402" s="207" t="s">
        <v>4530</v>
      </c>
      <c r="AD402"/>
      <c r="AE402" s="206"/>
      <c r="AF402" s="94"/>
      <c r="AG402" s="94"/>
      <c r="AH402" s="94"/>
      <c r="AI402" s="94"/>
      <c r="AJ402" s="94"/>
      <c r="AK402" s="94"/>
      <c r="AL402" s="94"/>
      <c r="AM402" s="254"/>
      <c r="AN402" s="254"/>
      <c r="AO402" s="94"/>
      <c r="AP402" s="94"/>
      <c r="AQ402" s="94"/>
      <c r="AR402" s="94"/>
      <c r="AS402" s="207"/>
    </row>
    <row r="403" spans="13:45" ht="12.75">
      <c r="M403" s="104"/>
      <c r="O403" s="206" t="s">
        <v>4993</v>
      </c>
      <c r="P403" s="94" t="s">
        <v>4711</v>
      </c>
      <c r="Q403" s="180">
        <v>228210</v>
      </c>
      <c r="R403" s="258">
        <v>2000</v>
      </c>
      <c r="S403" s="259">
        <v>100</v>
      </c>
      <c r="T403" s="213" t="s">
        <v>5000</v>
      </c>
      <c r="U403" s="213">
        <v>4</v>
      </c>
      <c r="V403" s="213" t="s">
        <v>3439</v>
      </c>
      <c r="W403" s="213" t="s">
        <v>3361</v>
      </c>
      <c r="X403" s="213" t="s">
        <v>3445</v>
      </c>
      <c r="Y403" s="213" t="s">
        <v>4996</v>
      </c>
      <c r="Z403" s="213" t="s">
        <v>3470</v>
      </c>
      <c r="AA403" s="213">
        <v>75</v>
      </c>
      <c r="AB403" s="213">
        <v>85</v>
      </c>
      <c r="AC403" s="207" t="s">
        <v>4530</v>
      </c>
      <c r="AD403"/>
      <c r="AE403" s="206"/>
      <c r="AF403" s="94"/>
      <c r="AG403" s="94"/>
      <c r="AH403" s="94"/>
      <c r="AI403" s="94"/>
      <c r="AJ403" s="94"/>
      <c r="AK403" s="94"/>
      <c r="AL403" s="94"/>
      <c r="AM403" s="254"/>
      <c r="AN403" s="254"/>
      <c r="AO403" s="94"/>
      <c r="AP403" s="94"/>
      <c r="AQ403" s="94"/>
      <c r="AR403" s="94"/>
      <c r="AS403" s="207"/>
    </row>
    <row r="404" spans="13:45" ht="12.75">
      <c r="M404" s="104"/>
      <c r="O404" s="206" t="s">
        <v>1753</v>
      </c>
      <c r="P404" s="94" t="s">
        <v>4714</v>
      </c>
      <c r="Q404" s="180">
        <v>192342</v>
      </c>
      <c r="R404" s="258">
        <v>2000</v>
      </c>
      <c r="S404" s="259" t="s">
        <v>5004</v>
      </c>
      <c r="T404" s="213" t="s">
        <v>5000</v>
      </c>
      <c r="U404" s="213">
        <v>4</v>
      </c>
      <c r="V404" s="213" t="s">
        <v>3439</v>
      </c>
      <c r="W404" s="213" t="s">
        <v>3361</v>
      </c>
      <c r="X404" s="213" t="s">
        <v>3441</v>
      </c>
      <c r="Y404" s="213" t="s">
        <v>4995</v>
      </c>
      <c r="Z404" s="213" t="s">
        <v>3125</v>
      </c>
      <c r="AA404" s="213">
        <v>15</v>
      </c>
      <c r="AB404" s="213">
        <v>130</v>
      </c>
      <c r="AC404" s="207" t="s">
        <v>3651</v>
      </c>
      <c r="AD404"/>
      <c r="AE404" s="206"/>
      <c r="AF404" s="94"/>
      <c r="AG404" s="94"/>
      <c r="AH404" s="94"/>
      <c r="AI404" s="94"/>
      <c r="AJ404" s="94"/>
      <c r="AK404" s="94"/>
      <c r="AL404" s="94"/>
      <c r="AM404" s="254"/>
      <c r="AN404" s="254"/>
      <c r="AO404" s="94"/>
      <c r="AP404" s="94"/>
      <c r="AQ404" s="94"/>
      <c r="AR404" s="94"/>
      <c r="AS404" s="207"/>
    </row>
    <row r="405" spans="13:45" ht="12.75">
      <c r="M405" s="104"/>
      <c r="O405" s="206" t="s">
        <v>1756</v>
      </c>
      <c r="P405" s="94" t="s">
        <v>4717</v>
      </c>
      <c r="Q405" s="180">
        <v>205190</v>
      </c>
      <c r="R405" s="258">
        <v>2000</v>
      </c>
      <c r="S405" s="259" t="s">
        <v>5004</v>
      </c>
      <c r="T405" s="213" t="s">
        <v>5000</v>
      </c>
      <c r="U405" s="213">
        <v>4</v>
      </c>
      <c r="V405" s="213" t="s">
        <v>3439</v>
      </c>
      <c r="W405" s="213" t="s">
        <v>3361</v>
      </c>
      <c r="X405" s="213" t="s">
        <v>3441</v>
      </c>
      <c r="Y405" s="213" t="s">
        <v>4999</v>
      </c>
      <c r="Z405" s="213" t="s">
        <v>3125</v>
      </c>
      <c r="AA405" s="213">
        <v>15</v>
      </c>
      <c r="AB405" s="213">
        <v>130</v>
      </c>
      <c r="AC405" s="207" t="s">
        <v>3651</v>
      </c>
      <c r="AD405"/>
      <c r="AE405" s="206"/>
      <c r="AF405" s="94"/>
      <c r="AG405" s="94"/>
      <c r="AH405" s="94"/>
      <c r="AI405" s="94"/>
      <c r="AJ405" s="94"/>
      <c r="AK405" s="94"/>
      <c r="AL405" s="94"/>
      <c r="AM405" s="254"/>
      <c r="AN405" s="254"/>
      <c r="AO405" s="94"/>
      <c r="AP405" s="94"/>
      <c r="AQ405" s="94"/>
      <c r="AR405" s="94"/>
      <c r="AS405" s="207"/>
    </row>
    <row r="406" spans="13:45" ht="12.75">
      <c r="M406" s="104"/>
      <c r="O406" s="206" t="s">
        <v>1759</v>
      </c>
      <c r="P406" s="94" t="s">
        <v>4720</v>
      </c>
      <c r="Q406" s="180">
        <v>197972</v>
      </c>
      <c r="R406" s="258">
        <v>2000</v>
      </c>
      <c r="S406" s="259" t="s">
        <v>5004</v>
      </c>
      <c r="T406" s="213" t="s">
        <v>5000</v>
      </c>
      <c r="U406" s="213">
        <v>4</v>
      </c>
      <c r="V406" s="213" t="s">
        <v>3439</v>
      </c>
      <c r="W406" s="213" t="s">
        <v>3361</v>
      </c>
      <c r="X406" s="213" t="s">
        <v>3441</v>
      </c>
      <c r="Y406" s="213" t="s">
        <v>4996</v>
      </c>
      <c r="Z406" s="213" t="s">
        <v>3125</v>
      </c>
      <c r="AA406" s="213">
        <v>15</v>
      </c>
      <c r="AB406" s="213">
        <v>130</v>
      </c>
      <c r="AC406" s="207" t="s">
        <v>3651</v>
      </c>
      <c r="AD406"/>
      <c r="AE406" s="206"/>
      <c r="AF406" s="94"/>
      <c r="AG406" s="94"/>
      <c r="AH406" s="94"/>
      <c r="AI406" s="94"/>
      <c r="AJ406" s="94"/>
      <c r="AK406" s="94"/>
      <c r="AL406" s="94"/>
      <c r="AM406" s="254"/>
      <c r="AN406" s="254"/>
      <c r="AO406" s="94"/>
      <c r="AP406" s="94"/>
      <c r="AQ406" s="94"/>
      <c r="AR406" s="94"/>
      <c r="AS406" s="207"/>
    </row>
    <row r="407" spans="13:45" ht="12.75">
      <c r="M407" s="104"/>
      <c r="O407" s="206" t="s">
        <v>1762</v>
      </c>
      <c r="P407" s="94" t="s">
        <v>3713</v>
      </c>
      <c r="Q407" s="180">
        <v>229399</v>
      </c>
      <c r="R407" s="258">
        <v>2000</v>
      </c>
      <c r="S407" s="259" t="s">
        <v>5004</v>
      </c>
      <c r="T407" s="213" t="s">
        <v>5000</v>
      </c>
      <c r="U407" s="213">
        <v>4</v>
      </c>
      <c r="V407" s="213" t="s">
        <v>3439</v>
      </c>
      <c r="W407" s="213" t="s">
        <v>3361</v>
      </c>
      <c r="X407" s="213" t="s">
        <v>3445</v>
      </c>
      <c r="Y407" s="213" t="s">
        <v>4999</v>
      </c>
      <c r="Z407" s="213" t="s">
        <v>3125</v>
      </c>
      <c r="AA407" s="213">
        <v>15</v>
      </c>
      <c r="AB407" s="213">
        <v>130</v>
      </c>
      <c r="AC407" s="207" t="s">
        <v>3651</v>
      </c>
      <c r="AD407"/>
      <c r="AE407" s="206"/>
      <c r="AF407" s="94"/>
      <c r="AG407" s="94"/>
      <c r="AH407" s="94"/>
      <c r="AI407" s="94"/>
      <c r="AJ407" s="94"/>
      <c r="AK407" s="94"/>
      <c r="AL407" s="94"/>
      <c r="AM407" s="254"/>
      <c r="AN407" s="254"/>
      <c r="AO407" s="94"/>
      <c r="AP407" s="94"/>
      <c r="AQ407" s="94"/>
      <c r="AR407" s="94"/>
      <c r="AS407" s="207"/>
    </row>
    <row r="408" spans="13:45" ht="12.75">
      <c r="M408" s="104"/>
      <c r="O408" s="206" t="s">
        <v>1765</v>
      </c>
      <c r="P408" s="94" t="s">
        <v>3725</v>
      </c>
      <c r="Q408" s="180">
        <v>222180</v>
      </c>
      <c r="R408" s="258">
        <v>2000</v>
      </c>
      <c r="S408" s="259" t="s">
        <v>5004</v>
      </c>
      <c r="T408" s="213" t="s">
        <v>5000</v>
      </c>
      <c r="U408" s="213">
        <v>4</v>
      </c>
      <c r="V408" s="213" t="s">
        <v>3439</v>
      </c>
      <c r="W408" s="213" t="s">
        <v>3361</v>
      </c>
      <c r="X408" s="213" t="s">
        <v>3445</v>
      </c>
      <c r="Y408" s="213" t="s">
        <v>4996</v>
      </c>
      <c r="Z408" s="213" t="s">
        <v>3125</v>
      </c>
      <c r="AA408" s="213">
        <v>15</v>
      </c>
      <c r="AB408" s="213">
        <v>130</v>
      </c>
      <c r="AC408" s="207" t="s">
        <v>3651</v>
      </c>
      <c r="AD408"/>
      <c r="AE408" s="206"/>
      <c r="AF408" s="94"/>
      <c r="AG408" s="94"/>
      <c r="AH408" s="94"/>
      <c r="AI408" s="94"/>
      <c r="AJ408" s="94"/>
      <c r="AK408" s="94"/>
      <c r="AL408" s="94"/>
      <c r="AM408" s="254"/>
      <c r="AN408" s="254"/>
      <c r="AO408" s="94"/>
      <c r="AP408" s="94"/>
      <c r="AQ408" s="94"/>
      <c r="AR408" s="94"/>
      <c r="AS408" s="207"/>
    </row>
    <row r="409" spans="13:45" ht="12.75">
      <c r="M409" s="104"/>
      <c r="O409" s="206" t="s">
        <v>1768</v>
      </c>
      <c r="P409" s="94" t="s">
        <v>3936</v>
      </c>
      <c r="Q409" s="180">
        <v>184755</v>
      </c>
      <c r="R409" s="258">
        <v>2500</v>
      </c>
      <c r="S409" s="259">
        <v>65</v>
      </c>
      <c r="T409" s="213" t="s">
        <v>5000</v>
      </c>
      <c r="U409" s="213">
        <v>4</v>
      </c>
      <c r="V409" s="213" t="s">
        <v>3439</v>
      </c>
      <c r="W409" s="213" t="s">
        <v>3361</v>
      </c>
      <c r="X409" s="213" t="s">
        <v>3441</v>
      </c>
      <c r="Y409" s="213" t="s">
        <v>4995</v>
      </c>
      <c r="Z409" s="213" t="s">
        <v>3356</v>
      </c>
      <c r="AA409" s="213">
        <v>65</v>
      </c>
      <c r="AB409" s="213">
        <v>65</v>
      </c>
      <c r="AC409" s="207" t="s">
        <v>4530</v>
      </c>
      <c r="AD409"/>
      <c r="AE409" s="206"/>
      <c r="AF409" s="94"/>
      <c r="AG409" s="94"/>
      <c r="AH409" s="94"/>
      <c r="AI409" s="94"/>
      <c r="AJ409" s="94"/>
      <c r="AK409" s="94"/>
      <c r="AL409" s="94"/>
      <c r="AM409" s="254"/>
      <c r="AN409" s="254"/>
      <c r="AO409" s="94"/>
      <c r="AP409" s="94"/>
      <c r="AQ409" s="94"/>
      <c r="AR409" s="94"/>
      <c r="AS409" s="207"/>
    </row>
    <row r="410" spans="13:45" ht="12.75">
      <c r="M410" s="104"/>
      <c r="O410" s="206" t="s">
        <v>1771</v>
      </c>
      <c r="P410" s="94" t="s">
        <v>1375</v>
      </c>
      <c r="Q410" s="180">
        <v>197602</v>
      </c>
      <c r="R410" s="258">
        <v>2500</v>
      </c>
      <c r="S410" s="259">
        <v>65</v>
      </c>
      <c r="T410" s="213" t="s">
        <v>5000</v>
      </c>
      <c r="U410" s="213">
        <v>4</v>
      </c>
      <c r="V410" s="213" t="s">
        <v>3439</v>
      </c>
      <c r="W410" s="213" t="s">
        <v>3361</v>
      </c>
      <c r="X410" s="213" t="s">
        <v>3441</v>
      </c>
      <c r="Y410" s="213" t="s">
        <v>4999</v>
      </c>
      <c r="Z410" s="213" t="s">
        <v>3356</v>
      </c>
      <c r="AA410" s="213">
        <v>65</v>
      </c>
      <c r="AB410" s="213">
        <v>65</v>
      </c>
      <c r="AC410" s="207" t="s">
        <v>4530</v>
      </c>
      <c r="AD410"/>
      <c r="AE410" s="206"/>
      <c r="AF410" s="94"/>
      <c r="AG410" s="94"/>
      <c r="AH410" s="94"/>
      <c r="AI410" s="94"/>
      <c r="AJ410" s="94"/>
      <c r="AK410" s="94"/>
      <c r="AL410" s="94"/>
      <c r="AM410" s="254"/>
      <c r="AN410" s="254"/>
      <c r="AO410" s="94"/>
      <c r="AP410" s="94"/>
      <c r="AQ410" s="94"/>
      <c r="AR410" s="94"/>
      <c r="AS410" s="207"/>
    </row>
    <row r="411" spans="13:45" ht="12.75">
      <c r="M411" s="104"/>
      <c r="O411" s="206" t="s">
        <v>1774</v>
      </c>
      <c r="P411" s="94" t="s">
        <v>1378</v>
      </c>
      <c r="Q411" s="180">
        <v>190386</v>
      </c>
      <c r="R411" s="258">
        <v>2500</v>
      </c>
      <c r="S411" s="259">
        <v>65</v>
      </c>
      <c r="T411" s="213" t="s">
        <v>5000</v>
      </c>
      <c r="U411" s="213">
        <v>4</v>
      </c>
      <c r="V411" s="213" t="s">
        <v>3439</v>
      </c>
      <c r="W411" s="213" t="s">
        <v>3361</v>
      </c>
      <c r="X411" s="213" t="s">
        <v>3441</v>
      </c>
      <c r="Y411" s="213" t="s">
        <v>4996</v>
      </c>
      <c r="Z411" s="213" t="s">
        <v>3356</v>
      </c>
      <c r="AA411" s="213">
        <v>65</v>
      </c>
      <c r="AB411" s="213">
        <v>65</v>
      </c>
      <c r="AC411" s="207" t="s">
        <v>4530</v>
      </c>
      <c r="AD411"/>
      <c r="AE411" s="206"/>
      <c r="AF411" s="94"/>
      <c r="AG411" s="94"/>
      <c r="AH411" s="94"/>
      <c r="AI411" s="94"/>
      <c r="AJ411" s="94"/>
      <c r="AK411" s="94"/>
      <c r="AL411" s="94"/>
      <c r="AM411" s="254"/>
      <c r="AN411" s="254"/>
      <c r="AO411" s="94"/>
      <c r="AP411" s="94"/>
      <c r="AQ411" s="94"/>
      <c r="AR411" s="94"/>
      <c r="AS411" s="207"/>
    </row>
    <row r="412" spans="13:45" ht="12.75">
      <c r="M412" s="104"/>
      <c r="O412" s="206" t="s">
        <v>1777</v>
      </c>
      <c r="P412" s="94" t="s">
        <v>2426</v>
      </c>
      <c r="Q412" s="180">
        <v>221812</v>
      </c>
      <c r="R412" s="258">
        <v>2500</v>
      </c>
      <c r="S412" s="259">
        <v>65</v>
      </c>
      <c r="T412" s="213" t="s">
        <v>5000</v>
      </c>
      <c r="U412" s="213">
        <v>4</v>
      </c>
      <c r="V412" s="213" t="s">
        <v>3439</v>
      </c>
      <c r="W412" s="213" t="s">
        <v>3361</v>
      </c>
      <c r="X412" s="213" t="s">
        <v>3445</v>
      </c>
      <c r="Y412" s="213" t="s">
        <v>4999</v>
      </c>
      <c r="Z412" s="213" t="s">
        <v>3356</v>
      </c>
      <c r="AA412" s="213">
        <v>65</v>
      </c>
      <c r="AB412" s="213">
        <v>65</v>
      </c>
      <c r="AC412" s="207" t="s">
        <v>4530</v>
      </c>
      <c r="AD412"/>
      <c r="AE412" s="206"/>
      <c r="AF412" s="94"/>
      <c r="AG412" s="94"/>
      <c r="AH412" s="94"/>
      <c r="AI412" s="94"/>
      <c r="AJ412" s="94"/>
      <c r="AK412" s="94"/>
      <c r="AL412" s="94"/>
      <c r="AM412" s="254"/>
      <c r="AN412" s="254"/>
      <c r="AO412" s="94"/>
      <c r="AP412" s="94"/>
      <c r="AQ412" s="94"/>
      <c r="AR412" s="94"/>
      <c r="AS412" s="207"/>
    </row>
    <row r="413" spans="13:45" ht="12.75">
      <c r="M413" s="104"/>
      <c r="O413" s="206" t="s">
        <v>1780</v>
      </c>
      <c r="P413" s="94" t="s">
        <v>2429</v>
      </c>
      <c r="Q413" s="180">
        <v>214595</v>
      </c>
      <c r="R413" s="258">
        <v>2500</v>
      </c>
      <c r="S413" s="259">
        <v>65</v>
      </c>
      <c r="T413" s="213" t="s">
        <v>5000</v>
      </c>
      <c r="U413" s="213">
        <v>4</v>
      </c>
      <c r="V413" s="213" t="s">
        <v>3439</v>
      </c>
      <c r="W413" s="213" t="s">
        <v>3361</v>
      </c>
      <c r="X413" s="213" t="s">
        <v>3445</v>
      </c>
      <c r="Y413" s="213" t="s">
        <v>4996</v>
      </c>
      <c r="Z413" s="213" t="s">
        <v>3356</v>
      </c>
      <c r="AA413" s="213">
        <v>65</v>
      </c>
      <c r="AB413" s="213">
        <v>65</v>
      </c>
      <c r="AC413" s="207" t="s">
        <v>4530</v>
      </c>
      <c r="AD413"/>
      <c r="AE413" s="206"/>
      <c r="AF413" s="94"/>
      <c r="AG413" s="94"/>
      <c r="AH413" s="94"/>
      <c r="AI413" s="94"/>
      <c r="AJ413" s="94"/>
      <c r="AK413" s="94"/>
      <c r="AL413" s="94"/>
      <c r="AM413" s="254"/>
      <c r="AN413" s="254"/>
      <c r="AO413" s="94"/>
      <c r="AP413" s="94"/>
      <c r="AQ413" s="94"/>
      <c r="AR413" s="94"/>
      <c r="AS413" s="207"/>
    </row>
    <row r="414" spans="13:45" ht="12.75">
      <c r="M414" s="104"/>
      <c r="O414" s="206" t="s">
        <v>1783</v>
      </c>
      <c r="P414" s="94" t="s">
        <v>2432</v>
      </c>
      <c r="Q414" s="180">
        <v>210503</v>
      </c>
      <c r="R414" s="258">
        <v>2500</v>
      </c>
      <c r="S414" s="259">
        <v>75</v>
      </c>
      <c r="T414" s="213" t="s">
        <v>5000</v>
      </c>
      <c r="U414" s="213">
        <v>4</v>
      </c>
      <c r="V414" s="213" t="s">
        <v>3439</v>
      </c>
      <c r="W414" s="213" t="s">
        <v>3361</v>
      </c>
      <c r="X414" s="213" t="s">
        <v>3441</v>
      </c>
      <c r="Y414" s="213" t="s">
        <v>4995</v>
      </c>
      <c r="Z414" s="213" t="s">
        <v>4549</v>
      </c>
      <c r="AA414" s="213">
        <v>75</v>
      </c>
      <c r="AB414" s="213">
        <v>75</v>
      </c>
      <c r="AC414" s="207" t="s">
        <v>4530</v>
      </c>
      <c r="AD414"/>
      <c r="AE414" s="206"/>
      <c r="AF414" s="94"/>
      <c r="AG414" s="94"/>
      <c r="AH414" s="94"/>
      <c r="AI414" s="94"/>
      <c r="AJ414" s="94"/>
      <c r="AK414" s="94"/>
      <c r="AL414" s="94"/>
      <c r="AM414" s="254"/>
      <c r="AN414" s="254"/>
      <c r="AO414" s="94"/>
      <c r="AP414" s="94"/>
      <c r="AQ414" s="94"/>
      <c r="AR414" s="94"/>
      <c r="AS414" s="207"/>
    </row>
    <row r="415" spans="13:45" ht="12.75">
      <c r="M415" s="104"/>
      <c r="O415" s="206" t="s">
        <v>1786</v>
      </c>
      <c r="P415" s="94" t="s">
        <v>1389</v>
      </c>
      <c r="Q415" s="180">
        <v>223350</v>
      </c>
      <c r="R415" s="258">
        <v>2500</v>
      </c>
      <c r="S415" s="259">
        <v>75</v>
      </c>
      <c r="T415" s="213" t="s">
        <v>5000</v>
      </c>
      <c r="U415" s="213">
        <v>4</v>
      </c>
      <c r="V415" s="213" t="s">
        <v>3439</v>
      </c>
      <c r="W415" s="213" t="s">
        <v>3361</v>
      </c>
      <c r="X415" s="213" t="s">
        <v>3441</v>
      </c>
      <c r="Y415" s="213" t="s">
        <v>4999</v>
      </c>
      <c r="Z415" s="213" t="s">
        <v>4549</v>
      </c>
      <c r="AA415" s="213">
        <v>75</v>
      </c>
      <c r="AB415" s="213">
        <v>75</v>
      </c>
      <c r="AC415" s="207" t="s">
        <v>4530</v>
      </c>
      <c r="AD415"/>
      <c r="AE415" s="206"/>
      <c r="AF415" s="94"/>
      <c r="AG415" s="94"/>
      <c r="AH415" s="94"/>
      <c r="AI415" s="94"/>
      <c r="AJ415" s="94"/>
      <c r="AK415" s="94"/>
      <c r="AL415" s="94"/>
      <c r="AM415" s="254"/>
      <c r="AN415" s="254"/>
      <c r="AO415" s="94"/>
      <c r="AP415" s="94"/>
      <c r="AQ415" s="94"/>
      <c r="AR415" s="94"/>
      <c r="AS415" s="207"/>
    </row>
    <row r="416" spans="13:45" ht="12.75">
      <c r="M416" s="104"/>
      <c r="O416" s="206" t="s">
        <v>1789</v>
      </c>
      <c r="P416" s="94" t="s">
        <v>2036</v>
      </c>
      <c r="Q416" s="180">
        <v>216132</v>
      </c>
      <c r="R416" s="258">
        <v>2500</v>
      </c>
      <c r="S416" s="259">
        <v>75</v>
      </c>
      <c r="T416" s="213" t="s">
        <v>5000</v>
      </c>
      <c r="U416" s="213">
        <v>4</v>
      </c>
      <c r="V416" s="213" t="s">
        <v>3439</v>
      </c>
      <c r="W416" s="213" t="s">
        <v>3361</v>
      </c>
      <c r="X416" s="213" t="s">
        <v>3441</v>
      </c>
      <c r="Y416" s="213" t="s">
        <v>4996</v>
      </c>
      <c r="Z416" s="213" t="s">
        <v>4549</v>
      </c>
      <c r="AA416" s="213">
        <v>75</v>
      </c>
      <c r="AB416" s="213">
        <v>75</v>
      </c>
      <c r="AC416" s="207" t="s">
        <v>4530</v>
      </c>
      <c r="AD416"/>
      <c r="AE416" s="206"/>
      <c r="AF416" s="94"/>
      <c r="AG416" s="94"/>
      <c r="AH416" s="94"/>
      <c r="AI416" s="94"/>
      <c r="AJ416" s="94"/>
      <c r="AK416" s="94"/>
      <c r="AL416" s="94"/>
      <c r="AM416" s="254"/>
      <c r="AN416" s="254"/>
      <c r="AO416" s="94"/>
      <c r="AP416" s="94"/>
      <c r="AQ416" s="94"/>
      <c r="AR416" s="94"/>
      <c r="AS416" s="207"/>
    </row>
    <row r="417" spans="13:45" ht="12.75">
      <c r="M417" s="104"/>
      <c r="O417" s="206" t="s">
        <v>1792</v>
      </c>
      <c r="P417" s="94" t="s">
        <v>2441</v>
      </c>
      <c r="Q417" s="180">
        <v>247560</v>
      </c>
      <c r="R417" s="258">
        <v>2500</v>
      </c>
      <c r="S417" s="259">
        <v>75</v>
      </c>
      <c r="T417" s="213" t="s">
        <v>5000</v>
      </c>
      <c r="U417" s="213">
        <v>4</v>
      </c>
      <c r="V417" s="213" t="s">
        <v>3439</v>
      </c>
      <c r="W417" s="213" t="s">
        <v>3361</v>
      </c>
      <c r="X417" s="213" t="s">
        <v>3445</v>
      </c>
      <c r="Y417" s="213" t="s">
        <v>4999</v>
      </c>
      <c r="Z417" s="213" t="s">
        <v>4549</v>
      </c>
      <c r="AA417" s="213">
        <v>75</v>
      </c>
      <c r="AB417" s="213">
        <v>75</v>
      </c>
      <c r="AC417" s="207" t="s">
        <v>4530</v>
      </c>
      <c r="AD417"/>
      <c r="AE417" s="206"/>
      <c r="AF417" s="94"/>
      <c r="AG417" s="94"/>
      <c r="AH417" s="94"/>
      <c r="AI417" s="94"/>
      <c r="AJ417" s="94"/>
      <c r="AK417" s="94"/>
      <c r="AL417" s="94"/>
      <c r="AM417" s="254"/>
      <c r="AN417" s="254"/>
      <c r="AO417" s="94"/>
      <c r="AP417" s="94"/>
      <c r="AQ417" s="94"/>
      <c r="AR417" s="94"/>
      <c r="AS417" s="207"/>
    </row>
    <row r="418" spans="13:45" ht="12.75">
      <c r="M418" s="104"/>
      <c r="O418" s="206" t="s">
        <v>1795</v>
      </c>
      <c r="P418" s="94" t="s">
        <v>2444</v>
      </c>
      <c r="Q418" s="180">
        <v>240341</v>
      </c>
      <c r="R418" s="258">
        <v>2500</v>
      </c>
      <c r="S418" s="259">
        <v>75</v>
      </c>
      <c r="T418" s="213" t="s">
        <v>5000</v>
      </c>
      <c r="U418" s="213">
        <v>4</v>
      </c>
      <c r="V418" s="213" t="s">
        <v>3439</v>
      </c>
      <c r="W418" s="213" t="s">
        <v>3361</v>
      </c>
      <c r="X418" s="213" t="s">
        <v>3445</v>
      </c>
      <c r="Y418" s="213" t="s">
        <v>4996</v>
      </c>
      <c r="Z418" s="213" t="s">
        <v>4549</v>
      </c>
      <c r="AA418" s="213">
        <v>75</v>
      </c>
      <c r="AB418" s="213">
        <v>75</v>
      </c>
      <c r="AC418" s="207" t="s">
        <v>4530</v>
      </c>
      <c r="AD418"/>
      <c r="AE418" s="206"/>
      <c r="AF418" s="94"/>
      <c r="AG418" s="94"/>
      <c r="AH418" s="94"/>
      <c r="AI418" s="94"/>
      <c r="AJ418" s="94"/>
      <c r="AK418" s="94"/>
      <c r="AL418" s="94"/>
      <c r="AM418" s="254"/>
      <c r="AN418" s="254"/>
      <c r="AO418" s="94"/>
      <c r="AP418" s="94"/>
      <c r="AQ418" s="94"/>
      <c r="AR418" s="94"/>
      <c r="AS418" s="207"/>
    </row>
    <row r="419" spans="13:45" ht="12.75">
      <c r="M419" s="104"/>
      <c r="O419" s="206" t="s">
        <v>1420</v>
      </c>
      <c r="P419" s="94" t="s">
        <v>2447</v>
      </c>
      <c r="Q419" s="180">
        <v>249674</v>
      </c>
      <c r="R419" s="258">
        <v>2500</v>
      </c>
      <c r="S419" s="259">
        <v>100</v>
      </c>
      <c r="T419" s="213" t="s">
        <v>5000</v>
      </c>
      <c r="U419" s="213">
        <v>4</v>
      </c>
      <c r="V419" s="213" t="s">
        <v>3439</v>
      </c>
      <c r="W419" s="213" t="s">
        <v>3361</v>
      </c>
      <c r="X419" s="213" t="s">
        <v>3441</v>
      </c>
      <c r="Y419" s="213" t="s">
        <v>4995</v>
      </c>
      <c r="Z419" s="213" t="s">
        <v>3470</v>
      </c>
      <c r="AA419" s="213">
        <v>75</v>
      </c>
      <c r="AB419" s="213">
        <v>85</v>
      </c>
      <c r="AC419" s="207" t="s">
        <v>4530</v>
      </c>
      <c r="AD419"/>
      <c r="AE419" s="206"/>
      <c r="AF419" s="94"/>
      <c r="AG419" s="94"/>
      <c r="AH419" s="94"/>
      <c r="AI419" s="94"/>
      <c r="AJ419" s="94"/>
      <c r="AK419" s="94"/>
      <c r="AL419" s="94"/>
      <c r="AM419" s="254"/>
      <c r="AN419" s="254"/>
      <c r="AO419" s="94"/>
      <c r="AP419" s="94"/>
      <c r="AQ419" s="94"/>
      <c r="AR419" s="94"/>
      <c r="AS419" s="207"/>
    </row>
    <row r="420" spans="13:45" ht="12.75">
      <c r="M420" s="104"/>
      <c r="O420" s="206" t="s">
        <v>1423</v>
      </c>
      <c r="P420" s="94" t="s">
        <v>2450</v>
      </c>
      <c r="Q420" s="180">
        <v>262522</v>
      </c>
      <c r="R420" s="258">
        <v>2500</v>
      </c>
      <c r="S420" s="259">
        <v>100</v>
      </c>
      <c r="T420" s="213" t="s">
        <v>5000</v>
      </c>
      <c r="U420" s="213">
        <v>4</v>
      </c>
      <c r="V420" s="213" t="s">
        <v>3439</v>
      </c>
      <c r="W420" s="213" t="s">
        <v>3361</v>
      </c>
      <c r="X420" s="213" t="s">
        <v>3441</v>
      </c>
      <c r="Y420" s="213" t="s">
        <v>4999</v>
      </c>
      <c r="Z420" s="213" t="s">
        <v>3470</v>
      </c>
      <c r="AA420" s="213">
        <v>75</v>
      </c>
      <c r="AB420" s="213">
        <v>85</v>
      </c>
      <c r="AC420" s="207" t="s">
        <v>4530</v>
      </c>
      <c r="AD420"/>
      <c r="AE420" s="206"/>
      <c r="AF420" s="94"/>
      <c r="AG420" s="94"/>
      <c r="AH420" s="94"/>
      <c r="AI420" s="94"/>
      <c r="AJ420" s="94"/>
      <c r="AK420" s="94"/>
      <c r="AL420" s="94"/>
      <c r="AM420" s="254"/>
      <c r="AN420" s="254"/>
      <c r="AO420" s="94"/>
      <c r="AP420" s="94"/>
      <c r="AQ420" s="94"/>
      <c r="AR420" s="94"/>
      <c r="AS420" s="207"/>
    </row>
    <row r="421" spans="13:45" ht="12.75">
      <c r="M421" s="104"/>
      <c r="O421" s="206" t="s">
        <v>1426</v>
      </c>
      <c r="P421" s="94" t="s">
        <v>2453</v>
      </c>
      <c r="Q421" s="180">
        <v>255304</v>
      </c>
      <c r="R421" s="258">
        <v>2500</v>
      </c>
      <c r="S421" s="259">
        <v>100</v>
      </c>
      <c r="T421" s="213" t="s">
        <v>5000</v>
      </c>
      <c r="U421" s="213">
        <v>4</v>
      </c>
      <c r="V421" s="213" t="s">
        <v>3439</v>
      </c>
      <c r="W421" s="213" t="s">
        <v>3361</v>
      </c>
      <c r="X421" s="213" t="s">
        <v>3441</v>
      </c>
      <c r="Y421" s="213" t="s">
        <v>4996</v>
      </c>
      <c r="Z421" s="213" t="s">
        <v>3470</v>
      </c>
      <c r="AA421" s="213">
        <v>75</v>
      </c>
      <c r="AB421" s="213">
        <v>85</v>
      </c>
      <c r="AC421" s="207" t="s">
        <v>4530</v>
      </c>
      <c r="AD421"/>
      <c r="AE421" s="206"/>
      <c r="AF421" s="94"/>
      <c r="AG421" s="94"/>
      <c r="AH421" s="94"/>
      <c r="AI421" s="94"/>
      <c r="AJ421" s="94"/>
      <c r="AK421" s="94"/>
      <c r="AL421" s="94"/>
      <c r="AM421" s="254"/>
      <c r="AN421" s="254"/>
      <c r="AO421" s="94"/>
      <c r="AP421" s="94"/>
      <c r="AQ421" s="94"/>
      <c r="AR421" s="94"/>
      <c r="AS421" s="207"/>
    </row>
    <row r="422" spans="13:45" ht="12.75">
      <c r="M422" s="104"/>
      <c r="O422" s="206" t="s">
        <v>2773</v>
      </c>
      <c r="P422" s="94" t="s">
        <v>2456</v>
      </c>
      <c r="Q422" s="180">
        <v>286731</v>
      </c>
      <c r="R422" s="258">
        <v>2500</v>
      </c>
      <c r="S422" s="259">
        <v>100</v>
      </c>
      <c r="T422" s="213" t="s">
        <v>5000</v>
      </c>
      <c r="U422" s="213">
        <v>4</v>
      </c>
      <c r="V422" s="213" t="s">
        <v>3439</v>
      </c>
      <c r="W422" s="213" t="s">
        <v>3361</v>
      </c>
      <c r="X422" s="213" t="s">
        <v>3445</v>
      </c>
      <c r="Y422" s="213" t="s">
        <v>4999</v>
      </c>
      <c r="Z422" s="213" t="s">
        <v>3470</v>
      </c>
      <c r="AA422" s="213">
        <v>75</v>
      </c>
      <c r="AB422" s="213">
        <v>85</v>
      </c>
      <c r="AC422" s="207" t="s">
        <v>4530</v>
      </c>
      <c r="AD422"/>
      <c r="AE422" s="206"/>
      <c r="AF422" s="94"/>
      <c r="AG422" s="94"/>
      <c r="AH422" s="94"/>
      <c r="AI422" s="94"/>
      <c r="AJ422" s="94"/>
      <c r="AK422" s="94"/>
      <c r="AL422" s="94"/>
      <c r="AM422" s="254"/>
      <c r="AN422" s="254"/>
      <c r="AO422" s="94"/>
      <c r="AP422" s="94"/>
      <c r="AQ422" s="94"/>
      <c r="AR422" s="94"/>
      <c r="AS422" s="207"/>
    </row>
    <row r="423" spans="13:45" ht="12.75">
      <c r="M423" s="104"/>
      <c r="O423" s="206" t="s">
        <v>2776</v>
      </c>
      <c r="P423" s="94" t="s">
        <v>3997</v>
      </c>
      <c r="Q423" s="180">
        <v>279513</v>
      </c>
      <c r="R423" s="258">
        <v>2500</v>
      </c>
      <c r="S423" s="259">
        <v>100</v>
      </c>
      <c r="T423" s="213" t="s">
        <v>5000</v>
      </c>
      <c r="U423" s="213">
        <v>4</v>
      </c>
      <c r="V423" s="213" t="s">
        <v>3439</v>
      </c>
      <c r="W423" s="213" t="s">
        <v>3361</v>
      </c>
      <c r="X423" s="213" t="s">
        <v>3445</v>
      </c>
      <c r="Y423" s="213" t="s">
        <v>4996</v>
      </c>
      <c r="Z423" s="213" t="s">
        <v>3470</v>
      </c>
      <c r="AA423" s="213">
        <v>75</v>
      </c>
      <c r="AB423" s="213">
        <v>85</v>
      </c>
      <c r="AC423" s="207" t="s">
        <v>4530</v>
      </c>
      <c r="AD423"/>
      <c r="AE423" s="206"/>
      <c r="AF423" s="94"/>
      <c r="AG423" s="94"/>
      <c r="AH423" s="94"/>
      <c r="AI423" s="94"/>
      <c r="AJ423" s="94"/>
      <c r="AK423" s="94"/>
      <c r="AL423" s="94"/>
      <c r="AM423" s="254"/>
      <c r="AN423" s="254"/>
      <c r="AO423" s="94"/>
      <c r="AP423" s="94"/>
      <c r="AQ423" s="94"/>
      <c r="AR423" s="94"/>
      <c r="AS423" s="207"/>
    </row>
    <row r="424" spans="13:45" ht="12.75">
      <c r="M424" s="104"/>
      <c r="O424" s="206" t="s">
        <v>2779</v>
      </c>
      <c r="P424" s="94" t="s">
        <v>4000</v>
      </c>
      <c r="Q424" s="180">
        <v>249736</v>
      </c>
      <c r="R424" s="258">
        <v>2500</v>
      </c>
      <c r="S424" s="259" t="s">
        <v>5004</v>
      </c>
      <c r="T424" s="213" t="s">
        <v>5000</v>
      </c>
      <c r="U424" s="213">
        <v>4</v>
      </c>
      <c r="V424" s="213" t="s">
        <v>3439</v>
      </c>
      <c r="W424" s="213" t="s">
        <v>3361</v>
      </c>
      <c r="X424" s="213" t="s">
        <v>3441</v>
      </c>
      <c r="Y424" s="213" t="s">
        <v>4995</v>
      </c>
      <c r="Z424" s="213" t="s">
        <v>3125</v>
      </c>
      <c r="AA424" s="213">
        <v>15</v>
      </c>
      <c r="AB424" s="213">
        <v>130</v>
      </c>
      <c r="AC424" s="207" t="s">
        <v>3651</v>
      </c>
      <c r="AD424"/>
      <c r="AE424" s="206"/>
      <c r="AF424" s="94"/>
      <c r="AG424" s="94"/>
      <c r="AH424" s="94"/>
      <c r="AI424" s="94"/>
      <c r="AJ424" s="94"/>
      <c r="AK424" s="94"/>
      <c r="AL424" s="94"/>
      <c r="AM424" s="254"/>
      <c r="AN424" s="254"/>
      <c r="AO424" s="94"/>
      <c r="AP424" s="94"/>
      <c r="AQ424" s="94"/>
      <c r="AR424" s="94"/>
      <c r="AS424" s="207"/>
    </row>
    <row r="425" spans="13:45" ht="12.75">
      <c r="M425" s="104"/>
      <c r="O425" s="206" t="s">
        <v>2782</v>
      </c>
      <c r="P425" s="94" t="s">
        <v>4003</v>
      </c>
      <c r="Q425" s="180">
        <v>262584</v>
      </c>
      <c r="R425" s="258">
        <v>2500</v>
      </c>
      <c r="S425" s="259" t="s">
        <v>5004</v>
      </c>
      <c r="T425" s="213" t="s">
        <v>5000</v>
      </c>
      <c r="U425" s="213">
        <v>4</v>
      </c>
      <c r="V425" s="213" t="s">
        <v>3439</v>
      </c>
      <c r="W425" s="213" t="s">
        <v>3361</v>
      </c>
      <c r="X425" s="213" t="s">
        <v>3441</v>
      </c>
      <c r="Y425" s="213" t="s">
        <v>4999</v>
      </c>
      <c r="Z425" s="213" t="s">
        <v>3125</v>
      </c>
      <c r="AA425" s="213">
        <v>15</v>
      </c>
      <c r="AB425" s="213">
        <v>130</v>
      </c>
      <c r="AC425" s="207" t="s">
        <v>3651</v>
      </c>
      <c r="AD425"/>
      <c r="AE425" s="206"/>
      <c r="AF425" s="94"/>
      <c r="AG425" s="94"/>
      <c r="AH425" s="94"/>
      <c r="AI425" s="94"/>
      <c r="AJ425" s="94"/>
      <c r="AK425" s="94"/>
      <c r="AL425" s="94"/>
      <c r="AM425" s="254"/>
      <c r="AN425" s="254"/>
      <c r="AO425" s="94"/>
      <c r="AP425" s="94"/>
      <c r="AQ425" s="94"/>
      <c r="AR425" s="94"/>
      <c r="AS425" s="207"/>
    </row>
    <row r="426" spans="13:45" ht="12.75">
      <c r="M426" s="104"/>
      <c r="O426" s="206" t="s">
        <v>2785</v>
      </c>
      <c r="P426" s="94" t="s">
        <v>4006</v>
      </c>
      <c r="Q426" s="180">
        <v>255367</v>
      </c>
      <c r="R426" s="258">
        <v>2500</v>
      </c>
      <c r="S426" s="259" t="s">
        <v>5004</v>
      </c>
      <c r="T426" s="213" t="s">
        <v>5000</v>
      </c>
      <c r="U426" s="213">
        <v>4</v>
      </c>
      <c r="V426" s="213" t="s">
        <v>3439</v>
      </c>
      <c r="W426" s="213" t="s">
        <v>3361</v>
      </c>
      <c r="X426" s="213" t="s">
        <v>3441</v>
      </c>
      <c r="Y426" s="213" t="s">
        <v>4996</v>
      </c>
      <c r="Z426" s="213" t="s">
        <v>3125</v>
      </c>
      <c r="AA426" s="213">
        <v>15</v>
      </c>
      <c r="AB426" s="213">
        <v>130</v>
      </c>
      <c r="AC426" s="207" t="s">
        <v>3651</v>
      </c>
      <c r="AD426"/>
      <c r="AE426" s="206"/>
      <c r="AF426" s="94"/>
      <c r="AG426" s="94"/>
      <c r="AH426" s="94"/>
      <c r="AI426" s="94"/>
      <c r="AJ426" s="94"/>
      <c r="AK426" s="94"/>
      <c r="AL426" s="94"/>
      <c r="AM426" s="254"/>
      <c r="AN426" s="254"/>
      <c r="AO426" s="94"/>
      <c r="AP426" s="94"/>
      <c r="AQ426" s="94"/>
      <c r="AR426" s="94"/>
      <c r="AS426" s="207"/>
    </row>
    <row r="427" spans="13:45" ht="12.75">
      <c r="M427" s="104"/>
      <c r="O427" s="206" t="s">
        <v>2788</v>
      </c>
      <c r="P427" s="94" t="s">
        <v>4009</v>
      </c>
      <c r="Q427" s="180">
        <v>286794</v>
      </c>
      <c r="R427" s="258">
        <v>2500</v>
      </c>
      <c r="S427" s="259" t="s">
        <v>5004</v>
      </c>
      <c r="T427" s="213" t="s">
        <v>5000</v>
      </c>
      <c r="U427" s="213">
        <v>4</v>
      </c>
      <c r="V427" s="213" t="s">
        <v>3439</v>
      </c>
      <c r="W427" s="213" t="s">
        <v>3361</v>
      </c>
      <c r="X427" s="213" t="s">
        <v>3445</v>
      </c>
      <c r="Y427" s="213" t="s">
        <v>4999</v>
      </c>
      <c r="Z427" s="213" t="s">
        <v>3125</v>
      </c>
      <c r="AA427" s="213">
        <v>15</v>
      </c>
      <c r="AB427" s="213">
        <v>130</v>
      </c>
      <c r="AC427" s="207" t="s">
        <v>3651</v>
      </c>
      <c r="AD427"/>
      <c r="AE427" s="206"/>
      <c r="AF427" s="94"/>
      <c r="AG427" s="94"/>
      <c r="AH427" s="94"/>
      <c r="AI427" s="94"/>
      <c r="AJ427" s="94"/>
      <c r="AK427" s="94"/>
      <c r="AL427" s="94"/>
      <c r="AM427" s="254"/>
      <c r="AN427" s="254"/>
      <c r="AO427" s="94"/>
      <c r="AP427" s="94"/>
      <c r="AQ427" s="94"/>
      <c r="AR427" s="94"/>
      <c r="AS427" s="207"/>
    </row>
    <row r="428" spans="13:45" ht="12.75">
      <c r="M428" s="104"/>
      <c r="O428" s="206" t="s">
        <v>2025</v>
      </c>
      <c r="P428" s="94" t="s">
        <v>4012</v>
      </c>
      <c r="Q428" s="180">
        <v>279576</v>
      </c>
      <c r="R428" s="258">
        <v>2500</v>
      </c>
      <c r="S428" s="259" t="s">
        <v>5004</v>
      </c>
      <c r="T428" s="213" t="s">
        <v>5000</v>
      </c>
      <c r="U428" s="213">
        <v>4</v>
      </c>
      <c r="V428" s="213" t="s">
        <v>3439</v>
      </c>
      <c r="W428" s="213" t="s">
        <v>3361</v>
      </c>
      <c r="X428" s="213" t="s">
        <v>3445</v>
      </c>
      <c r="Y428" s="213" t="s">
        <v>4996</v>
      </c>
      <c r="Z428" s="213" t="s">
        <v>3125</v>
      </c>
      <c r="AA428" s="213">
        <v>15</v>
      </c>
      <c r="AB428" s="213">
        <v>130</v>
      </c>
      <c r="AC428" s="207" t="s">
        <v>3651</v>
      </c>
      <c r="AD428"/>
      <c r="AE428" s="206"/>
      <c r="AF428" s="94"/>
      <c r="AG428" s="94"/>
      <c r="AH428" s="94"/>
      <c r="AI428" s="94"/>
      <c r="AJ428" s="94"/>
      <c r="AK428" s="94"/>
      <c r="AL428" s="94"/>
      <c r="AM428" s="254"/>
      <c r="AN428" s="254"/>
      <c r="AO428" s="94"/>
      <c r="AP428" s="94"/>
      <c r="AQ428" s="94"/>
      <c r="AR428" s="94"/>
      <c r="AS428" s="207"/>
    </row>
    <row r="429" spans="13:45" ht="12.75">
      <c r="M429" s="104"/>
      <c r="O429" s="206" t="s">
        <v>2028</v>
      </c>
      <c r="P429" s="94" t="s">
        <v>4015</v>
      </c>
      <c r="Q429" s="180">
        <v>207024</v>
      </c>
      <c r="R429" s="258">
        <v>3200</v>
      </c>
      <c r="S429" s="259">
        <v>65</v>
      </c>
      <c r="T429" s="213" t="s">
        <v>5000</v>
      </c>
      <c r="U429" s="213">
        <v>4</v>
      </c>
      <c r="V429" s="213" t="s">
        <v>3439</v>
      </c>
      <c r="W429" s="213" t="s">
        <v>3361</v>
      </c>
      <c r="X429" s="213" t="s">
        <v>3441</v>
      </c>
      <c r="Y429" s="213" t="s">
        <v>4995</v>
      </c>
      <c r="Z429" s="213" t="s">
        <v>3356</v>
      </c>
      <c r="AA429" s="213">
        <v>65</v>
      </c>
      <c r="AB429" s="213">
        <v>65</v>
      </c>
      <c r="AC429" s="207" t="s">
        <v>4530</v>
      </c>
      <c r="AD429"/>
      <c r="AE429" s="206"/>
      <c r="AF429" s="94"/>
      <c r="AG429" s="94"/>
      <c r="AH429" s="94"/>
      <c r="AI429" s="94"/>
      <c r="AJ429" s="94"/>
      <c r="AK429" s="94"/>
      <c r="AL429" s="94"/>
      <c r="AM429" s="254"/>
      <c r="AN429" s="254"/>
      <c r="AO429" s="94"/>
      <c r="AP429" s="94"/>
      <c r="AQ429" s="94"/>
      <c r="AR429" s="94"/>
      <c r="AS429" s="207"/>
    </row>
    <row r="430" spans="13:45" ht="12.75">
      <c r="M430" s="104"/>
      <c r="O430" s="206" t="s">
        <v>2031</v>
      </c>
      <c r="P430" s="94" t="s">
        <v>4018</v>
      </c>
      <c r="Q430" s="180">
        <v>219872</v>
      </c>
      <c r="R430" s="258">
        <v>3200</v>
      </c>
      <c r="S430" s="259">
        <v>65</v>
      </c>
      <c r="T430" s="213" t="s">
        <v>5000</v>
      </c>
      <c r="U430" s="213">
        <v>4</v>
      </c>
      <c r="V430" s="213" t="s">
        <v>3439</v>
      </c>
      <c r="W430" s="213" t="s">
        <v>3361</v>
      </c>
      <c r="X430" s="213" t="s">
        <v>3441</v>
      </c>
      <c r="Y430" s="213" t="s">
        <v>4999</v>
      </c>
      <c r="Z430" s="213" t="s">
        <v>3356</v>
      </c>
      <c r="AA430" s="213">
        <v>65</v>
      </c>
      <c r="AB430" s="213">
        <v>65</v>
      </c>
      <c r="AC430" s="207" t="s">
        <v>4530</v>
      </c>
      <c r="AD430"/>
      <c r="AE430" s="206"/>
      <c r="AF430" s="94"/>
      <c r="AG430" s="94"/>
      <c r="AH430" s="94"/>
      <c r="AI430" s="94"/>
      <c r="AJ430" s="94"/>
      <c r="AK430" s="94"/>
      <c r="AL430" s="94"/>
      <c r="AM430" s="254"/>
      <c r="AN430" s="254"/>
      <c r="AO430" s="94"/>
      <c r="AP430" s="94"/>
      <c r="AQ430" s="94"/>
      <c r="AR430" s="94"/>
      <c r="AS430" s="207"/>
    </row>
    <row r="431" spans="13:45" ht="12.75">
      <c r="M431" s="104"/>
      <c r="O431" s="206" t="s">
        <v>2034</v>
      </c>
      <c r="P431" s="94" t="s">
        <v>4021</v>
      </c>
      <c r="Q431" s="180">
        <v>212655</v>
      </c>
      <c r="R431" s="258">
        <v>3200</v>
      </c>
      <c r="S431" s="259">
        <v>65</v>
      </c>
      <c r="T431" s="213" t="s">
        <v>5000</v>
      </c>
      <c r="U431" s="213">
        <v>4</v>
      </c>
      <c r="V431" s="213" t="s">
        <v>3439</v>
      </c>
      <c r="W431" s="213" t="s">
        <v>3361</v>
      </c>
      <c r="X431" s="213" t="s">
        <v>3441</v>
      </c>
      <c r="Y431" s="213" t="s">
        <v>4996</v>
      </c>
      <c r="Z431" s="213" t="s">
        <v>3356</v>
      </c>
      <c r="AA431" s="213">
        <v>65</v>
      </c>
      <c r="AB431" s="213">
        <v>65</v>
      </c>
      <c r="AC431" s="207" t="s">
        <v>4530</v>
      </c>
      <c r="AD431"/>
      <c r="AE431" s="206"/>
      <c r="AF431" s="94"/>
      <c r="AG431" s="94"/>
      <c r="AH431" s="94"/>
      <c r="AI431" s="94"/>
      <c r="AJ431" s="94"/>
      <c r="AK431" s="94"/>
      <c r="AL431" s="94"/>
      <c r="AM431" s="254"/>
      <c r="AN431" s="254"/>
      <c r="AO431" s="94"/>
      <c r="AP431" s="94"/>
      <c r="AQ431" s="94"/>
      <c r="AR431" s="94"/>
      <c r="AS431" s="207"/>
    </row>
    <row r="432" spans="13:45" ht="12.75">
      <c r="M432" s="104"/>
      <c r="O432" s="206" t="s">
        <v>2583</v>
      </c>
      <c r="P432" s="94" t="s">
        <v>4024</v>
      </c>
      <c r="Q432" s="180">
        <v>244083</v>
      </c>
      <c r="R432" s="258">
        <v>3200</v>
      </c>
      <c r="S432" s="259">
        <v>65</v>
      </c>
      <c r="T432" s="213" t="s">
        <v>5000</v>
      </c>
      <c r="U432" s="213">
        <v>4</v>
      </c>
      <c r="V432" s="213" t="s">
        <v>3439</v>
      </c>
      <c r="W432" s="213" t="s">
        <v>3361</v>
      </c>
      <c r="X432" s="213" t="s">
        <v>3445</v>
      </c>
      <c r="Y432" s="213" t="s">
        <v>4999</v>
      </c>
      <c r="Z432" s="213" t="s">
        <v>3356</v>
      </c>
      <c r="AA432" s="213">
        <v>65</v>
      </c>
      <c r="AB432" s="213">
        <v>65</v>
      </c>
      <c r="AC432" s="207" t="s">
        <v>4530</v>
      </c>
      <c r="AD432"/>
      <c r="AE432" s="206"/>
      <c r="AF432" s="94"/>
      <c r="AG432" s="94"/>
      <c r="AH432" s="94"/>
      <c r="AI432" s="94"/>
      <c r="AJ432" s="94"/>
      <c r="AK432" s="94"/>
      <c r="AL432" s="94"/>
      <c r="AM432" s="254"/>
      <c r="AN432" s="254"/>
      <c r="AO432" s="94"/>
      <c r="AP432" s="94"/>
      <c r="AQ432" s="94"/>
      <c r="AR432" s="94"/>
      <c r="AS432" s="207"/>
    </row>
    <row r="433" spans="13:45" ht="12.75">
      <c r="M433" s="104"/>
      <c r="O433" s="206" t="s">
        <v>2586</v>
      </c>
      <c r="P433" s="94" t="s">
        <v>4027</v>
      </c>
      <c r="Q433" s="180">
        <v>236863</v>
      </c>
      <c r="R433" s="258">
        <v>3200</v>
      </c>
      <c r="S433" s="259">
        <v>65</v>
      </c>
      <c r="T433" s="213" t="s">
        <v>5000</v>
      </c>
      <c r="U433" s="213">
        <v>4</v>
      </c>
      <c r="V433" s="213" t="s">
        <v>3439</v>
      </c>
      <c r="W433" s="213" t="s">
        <v>3361</v>
      </c>
      <c r="X433" s="213" t="s">
        <v>3445</v>
      </c>
      <c r="Y433" s="213" t="s">
        <v>4996</v>
      </c>
      <c r="Z433" s="213" t="s">
        <v>3356</v>
      </c>
      <c r="AA433" s="213">
        <v>65</v>
      </c>
      <c r="AB433" s="213">
        <v>65</v>
      </c>
      <c r="AC433" s="207" t="s">
        <v>4530</v>
      </c>
      <c r="AD433"/>
      <c r="AE433" s="206"/>
      <c r="AF433" s="94"/>
      <c r="AG433" s="94"/>
      <c r="AH433" s="94"/>
      <c r="AI433" s="94"/>
      <c r="AJ433" s="94"/>
      <c r="AK433" s="94"/>
      <c r="AL433" s="94"/>
      <c r="AM433" s="254"/>
      <c r="AN433" s="254"/>
      <c r="AO433" s="94"/>
      <c r="AP433" s="94"/>
      <c r="AQ433" s="94"/>
      <c r="AR433" s="94"/>
      <c r="AS433" s="207"/>
    </row>
    <row r="434" spans="13:45" ht="12.75">
      <c r="M434" s="104"/>
      <c r="O434" s="206" t="s">
        <v>2589</v>
      </c>
      <c r="P434" s="94" t="s">
        <v>4030</v>
      </c>
      <c r="Q434" s="180">
        <v>279791</v>
      </c>
      <c r="R434" s="258">
        <v>3200</v>
      </c>
      <c r="S434" s="259">
        <v>75</v>
      </c>
      <c r="T434" s="213" t="s">
        <v>5000</v>
      </c>
      <c r="U434" s="213">
        <v>4</v>
      </c>
      <c r="V434" s="213" t="s">
        <v>3439</v>
      </c>
      <c r="W434" s="213" t="s">
        <v>3361</v>
      </c>
      <c r="X434" s="213" t="s">
        <v>3441</v>
      </c>
      <c r="Y434" s="213" t="s">
        <v>4995</v>
      </c>
      <c r="Z434" s="213" t="s">
        <v>4549</v>
      </c>
      <c r="AA434" s="213">
        <v>75</v>
      </c>
      <c r="AB434" s="213">
        <v>75</v>
      </c>
      <c r="AC434" s="207" t="s">
        <v>4530</v>
      </c>
      <c r="AD434"/>
      <c r="AE434" s="206"/>
      <c r="AF434" s="94"/>
      <c r="AG434" s="94"/>
      <c r="AH434" s="94"/>
      <c r="AI434" s="94"/>
      <c r="AJ434" s="94"/>
      <c r="AK434" s="94"/>
      <c r="AL434" s="94"/>
      <c r="AM434" s="254"/>
      <c r="AN434" s="254"/>
      <c r="AO434" s="94"/>
      <c r="AP434" s="94"/>
      <c r="AQ434" s="94"/>
      <c r="AR434" s="94"/>
      <c r="AS434" s="207"/>
    </row>
    <row r="435" spans="13:45" ht="12.75">
      <c r="M435" s="104"/>
      <c r="O435" s="206" t="s">
        <v>2592</v>
      </c>
      <c r="P435" s="94" t="s">
        <v>4033</v>
      </c>
      <c r="Q435" s="180">
        <v>292638</v>
      </c>
      <c r="R435" s="258">
        <v>3200</v>
      </c>
      <c r="S435" s="259">
        <v>75</v>
      </c>
      <c r="T435" s="213" t="s">
        <v>5000</v>
      </c>
      <c r="U435" s="213">
        <v>4</v>
      </c>
      <c r="V435" s="213" t="s">
        <v>3439</v>
      </c>
      <c r="W435" s="213" t="s">
        <v>3361</v>
      </c>
      <c r="X435" s="213" t="s">
        <v>3441</v>
      </c>
      <c r="Y435" s="213" t="s">
        <v>4999</v>
      </c>
      <c r="Z435" s="213" t="s">
        <v>4549</v>
      </c>
      <c r="AA435" s="213">
        <v>75</v>
      </c>
      <c r="AB435" s="213">
        <v>75</v>
      </c>
      <c r="AC435" s="207" t="s">
        <v>4530</v>
      </c>
      <c r="AD435"/>
      <c r="AE435" s="206"/>
      <c r="AF435" s="94"/>
      <c r="AG435" s="94"/>
      <c r="AH435" s="94"/>
      <c r="AI435" s="94"/>
      <c r="AJ435" s="94"/>
      <c r="AK435" s="94"/>
      <c r="AL435" s="94"/>
      <c r="AM435" s="254"/>
      <c r="AN435" s="254"/>
      <c r="AO435" s="94"/>
      <c r="AP435" s="94"/>
      <c r="AQ435" s="94"/>
      <c r="AR435" s="94"/>
      <c r="AS435" s="207"/>
    </row>
    <row r="436" spans="13:45" ht="12.75">
      <c r="M436" s="104"/>
      <c r="O436" s="206" t="s">
        <v>2595</v>
      </c>
      <c r="P436" s="94" t="s">
        <v>4036</v>
      </c>
      <c r="Q436" s="180">
        <v>285420</v>
      </c>
      <c r="R436" s="258">
        <v>3200</v>
      </c>
      <c r="S436" s="259">
        <v>75</v>
      </c>
      <c r="T436" s="213" t="s">
        <v>5000</v>
      </c>
      <c r="U436" s="213">
        <v>4</v>
      </c>
      <c r="V436" s="213" t="s">
        <v>3439</v>
      </c>
      <c r="W436" s="213" t="s">
        <v>3361</v>
      </c>
      <c r="X436" s="213" t="s">
        <v>3441</v>
      </c>
      <c r="Y436" s="213" t="s">
        <v>4996</v>
      </c>
      <c r="Z436" s="213" t="s">
        <v>4549</v>
      </c>
      <c r="AA436" s="213">
        <v>75</v>
      </c>
      <c r="AB436" s="213">
        <v>75</v>
      </c>
      <c r="AC436" s="207" t="s">
        <v>4530</v>
      </c>
      <c r="AD436"/>
      <c r="AE436" s="206"/>
      <c r="AF436" s="94"/>
      <c r="AG436" s="94"/>
      <c r="AH436" s="94"/>
      <c r="AI436" s="94"/>
      <c r="AJ436" s="94"/>
      <c r="AK436" s="94"/>
      <c r="AL436" s="94"/>
      <c r="AM436" s="254"/>
      <c r="AN436" s="254"/>
      <c r="AO436" s="94"/>
      <c r="AP436" s="94"/>
      <c r="AQ436" s="94"/>
      <c r="AR436" s="94"/>
      <c r="AS436" s="207"/>
    </row>
    <row r="437" spans="13:45" ht="12.75">
      <c r="M437" s="104"/>
      <c r="O437" s="206" t="s">
        <v>2598</v>
      </c>
      <c r="P437" s="94" t="s">
        <v>4039</v>
      </c>
      <c r="Q437" s="180">
        <v>316847</v>
      </c>
      <c r="R437" s="258">
        <v>3200</v>
      </c>
      <c r="S437" s="259">
        <v>75</v>
      </c>
      <c r="T437" s="213" t="s">
        <v>5000</v>
      </c>
      <c r="U437" s="213">
        <v>4</v>
      </c>
      <c r="V437" s="213" t="s">
        <v>3439</v>
      </c>
      <c r="W437" s="213" t="s">
        <v>3361</v>
      </c>
      <c r="X437" s="213" t="s">
        <v>3445</v>
      </c>
      <c r="Y437" s="213" t="s">
        <v>4999</v>
      </c>
      <c r="Z437" s="213" t="s">
        <v>4549</v>
      </c>
      <c r="AA437" s="213">
        <v>75</v>
      </c>
      <c r="AB437" s="213">
        <v>75</v>
      </c>
      <c r="AC437" s="207" t="s">
        <v>4530</v>
      </c>
      <c r="AD437"/>
      <c r="AE437" s="206"/>
      <c r="AF437" s="94"/>
      <c r="AG437" s="94"/>
      <c r="AH437" s="94"/>
      <c r="AI437" s="94"/>
      <c r="AJ437" s="94"/>
      <c r="AK437" s="94"/>
      <c r="AL437" s="94"/>
      <c r="AM437" s="254"/>
      <c r="AN437" s="254"/>
      <c r="AO437" s="94"/>
      <c r="AP437" s="94"/>
      <c r="AQ437" s="94"/>
      <c r="AR437" s="94"/>
      <c r="AS437" s="207"/>
    </row>
    <row r="438" spans="13:45" ht="12.75">
      <c r="M438" s="104"/>
      <c r="O438" s="206" t="s">
        <v>2601</v>
      </c>
      <c r="P438" s="94" t="s">
        <v>4042</v>
      </c>
      <c r="Q438" s="180">
        <v>309631</v>
      </c>
      <c r="R438" s="258">
        <v>3200</v>
      </c>
      <c r="S438" s="259">
        <v>75</v>
      </c>
      <c r="T438" s="213" t="s">
        <v>5000</v>
      </c>
      <c r="U438" s="213">
        <v>4</v>
      </c>
      <c r="V438" s="213" t="s">
        <v>3439</v>
      </c>
      <c r="W438" s="213" t="s">
        <v>3361</v>
      </c>
      <c r="X438" s="213" t="s">
        <v>3445</v>
      </c>
      <c r="Y438" s="213" t="s">
        <v>4996</v>
      </c>
      <c r="Z438" s="213" t="s">
        <v>4549</v>
      </c>
      <c r="AA438" s="213">
        <v>75</v>
      </c>
      <c r="AB438" s="213">
        <v>75</v>
      </c>
      <c r="AC438" s="207" t="s">
        <v>4530</v>
      </c>
      <c r="AD438"/>
      <c r="AE438" s="206"/>
      <c r="AF438" s="94"/>
      <c r="AG438" s="94"/>
      <c r="AH438" s="94"/>
      <c r="AI438" s="94"/>
      <c r="AJ438" s="94"/>
      <c r="AK438" s="94"/>
      <c r="AL438" s="94"/>
      <c r="AM438" s="254"/>
      <c r="AN438" s="254"/>
      <c r="AO438" s="94"/>
      <c r="AP438" s="94"/>
      <c r="AQ438" s="94"/>
      <c r="AR438" s="94"/>
      <c r="AS438" s="207"/>
    </row>
    <row r="439" spans="13:45" ht="12.75">
      <c r="M439" s="104"/>
      <c r="O439" s="206" t="s">
        <v>2604</v>
      </c>
      <c r="P439" s="94" t="s">
        <v>4045</v>
      </c>
      <c r="Q439" s="180">
        <v>287916</v>
      </c>
      <c r="R439" s="258">
        <v>3200</v>
      </c>
      <c r="S439" s="259" t="s">
        <v>847</v>
      </c>
      <c r="T439" s="213" t="s">
        <v>5000</v>
      </c>
      <c r="U439" s="213">
        <v>4</v>
      </c>
      <c r="V439" s="213" t="s">
        <v>3439</v>
      </c>
      <c r="W439" s="213" t="s">
        <v>3361</v>
      </c>
      <c r="X439" s="213" t="s">
        <v>3441</v>
      </c>
      <c r="Y439" s="213" t="s">
        <v>4995</v>
      </c>
      <c r="Z439" s="213" t="s">
        <v>3470</v>
      </c>
      <c r="AA439" s="213">
        <v>75</v>
      </c>
      <c r="AB439" s="213">
        <v>85</v>
      </c>
      <c r="AC439" s="207" t="s">
        <v>4530</v>
      </c>
      <c r="AD439"/>
      <c r="AE439" s="206"/>
      <c r="AF439" s="94"/>
      <c r="AG439" s="94"/>
      <c r="AH439" s="94"/>
      <c r="AI439" s="94"/>
      <c r="AJ439" s="94"/>
      <c r="AK439" s="94"/>
      <c r="AL439" s="94"/>
      <c r="AM439" s="254"/>
      <c r="AN439" s="254"/>
      <c r="AO439" s="94"/>
      <c r="AP439" s="94"/>
      <c r="AQ439" s="94"/>
      <c r="AR439" s="94"/>
      <c r="AS439" s="207"/>
    </row>
    <row r="440" spans="13:45" ht="12.75">
      <c r="M440" s="104"/>
      <c r="O440" s="206" t="s">
        <v>2607</v>
      </c>
      <c r="P440" s="94" t="s">
        <v>1417</v>
      </c>
      <c r="Q440" s="180">
        <v>300762</v>
      </c>
      <c r="R440" s="258">
        <v>3200</v>
      </c>
      <c r="S440" s="259" t="s">
        <v>847</v>
      </c>
      <c r="T440" s="213" t="s">
        <v>5000</v>
      </c>
      <c r="U440" s="213">
        <v>4</v>
      </c>
      <c r="V440" s="213" t="s">
        <v>3439</v>
      </c>
      <c r="W440" s="213" t="s">
        <v>3361</v>
      </c>
      <c r="X440" s="213" t="s">
        <v>3441</v>
      </c>
      <c r="Y440" s="213" t="s">
        <v>4999</v>
      </c>
      <c r="Z440" s="213" t="s">
        <v>3470</v>
      </c>
      <c r="AA440" s="213">
        <v>75</v>
      </c>
      <c r="AB440" s="213">
        <v>85</v>
      </c>
      <c r="AC440" s="207" t="s">
        <v>4530</v>
      </c>
      <c r="AD440"/>
      <c r="AE440" s="206"/>
      <c r="AF440" s="94"/>
      <c r="AG440" s="94"/>
      <c r="AH440" s="94"/>
      <c r="AI440" s="94"/>
      <c r="AJ440" s="94"/>
      <c r="AK440" s="94"/>
      <c r="AL440" s="94"/>
      <c r="AM440" s="254"/>
      <c r="AN440" s="254"/>
      <c r="AO440" s="94"/>
      <c r="AP440" s="94"/>
      <c r="AQ440" s="94"/>
      <c r="AR440" s="94"/>
      <c r="AS440" s="207"/>
    </row>
    <row r="441" spans="13:45" ht="12.75">
      <c r="M441" s="104"/>
      <c r="O441" s="206" t="s">
        <v>2610</v>
      </c>
      <c r="P441" s="94" t="s">
        <v>2790</v>
      </c>
      <c r="Q441" s="180">
        <v>293546</v>
      </c>
      <c r="R441" s="258">
        <v>3200</v>
      </c>
      <c r="S441" s="259" t="s">
        <v>847</v>
      </c>
      <c r="T441" s="213" t="s">
        <v>5000</v>
      </c>
      <c r="U441" s="213">
        <v>4</v>
      </c>
      <c r="V441" s="213" t="s">
        <v>3439</v>
      </c>
      <c r="W441" s="213" t="s">
        <v>3361</v>
      </c>
      <c r="X441" s="213" t="s">
        <v>3441</v>
      </c>
      <c r="Y441" s="213" t="s">
        <v>4996</v>
      </c>
      <c r="Z441" s="213" t="s">
        <v>3470</v>
      </c>
      <c r="AA441" s="213">
        <v>75</v>
      </c>
      <c r="AB441" s="213">
        <v>85</v>
      </c>
      <c r="AC441" s="207" t="s">
        <v>4530</v>
      </c>
      <c r="AD441"/>
      <c r="AE441" s="206"/>
      <c r="AF441" s="94"/>
      <c r="AG441" s="94"/>
      <c r="AH441" s="94"/>
      <c r="AI441" s="94"/>
      <c r="AJ441" s="94"/>
      <c r="AK441" s="94"/>
      <c r="AL441" s="94"/>
      <c r="AM441" s="254"/>
      <c r="AN441" s="254"/>
      <c r="AO441" s="94"/>
      <c r="AP441" s="94"/>
      <c r="AQ441" s="94"/>
      <c r="AR441" s="94"/>
      <c r="AS441" s="207"/>
    </row>
    <row r="442" spans="13:45" ht="12.75">
      <c r="M442" s="104"/>
      <c r="O442" s="206" t="s">
        <v>2613</v>
      </c>
      <c r="P442" s="94" t="s">
        <v>4665</v>
      </c>
      <c r="Q442" s="180">
        <v>324971</v>
      </c>
      <c r="R442" s="258">
        <v>3200</v>
      </c>
      <c r="S442" s="259" t="s">
        <v>847</v>
      </c>
      <c r="T442" s="213" t="s">
        <v>5000</v>
      </c>
      <c r="U442" s="213">
        <v>4</v>
      </c>
      <c r="V442" s="213" t="s">
        <v>3439</v>
      </c>
      <c r="W442" s="213" t="s">
        <v>3361</v>
      </c>
      <c r="X442" s="213" t="s">
        <v>3445</v>
      </c>
      <c r="Y442" s="213" t="s">
        <v>4999</v>
      </c>
      <c r="Z442" s="213" t="s">
        <v>3470</v>
      </c>
      <c r="AA442" s="213">
        <v>75</v>
      </c>
      <c r="AB442" s="213">
        <v>85</v>
      </c>
      <c r="AC442" s="207" t="s">
        <v>4530</v>
      </c>
      <c r="AD442"/>
      <c r="AE442" s="206"/>
      <c r="AF442" s="94"/>
      <c r="AG442" s="94"/>
      <c r="AH442" s="94"/>
      <c r="AI442" s="94"/>
      <c r="AJ442" s="94"/>
      <c r="AK442" s="94"/>
      <c r="AL442" s="94"/>
      <c r="AM442" s="254"/>
      <c r="AN442" s="254"/>
      <c r="AO442" s="94"/>
      <c r="AP442" s="94"/>
      <c r="AQ442" s="94"/>
      <c r="AR442" s="94"/>
      <c r="AS442" s="207"/>
    </row>
    <row r="443" spans="13:45" ht="12.75">
      <c r="M443" s="104"/>
      <c r="O443" s="206" t="s">
        <v>2616</v>
      </c>
      <c r="P443" s="94" t="s">
        <v>4668</v>
      </c>
      <c r="Q443" s="180">
        <v>317754</v>
      </c>
      <c r="R443" s="258">
        <v>3200</v>
      </c>
      <c r="S443" s="259" t="s">
        <v>847</v>
      </c>
      <c r="T443" s="213" t="s">
        <v>5000</v>
      </c>
      <c r="U443" s="213">
        <v>4</v>
      </c>
      <c r="V443" s="213" t="s">
        <v>3439</v>
      </c>
      <c r="W443" s="213" t="s">
        <v>3361</v>
      </c>
      <c r="X443" s="213" t="s">
        <v>3445</v>
      </c>
      <c r="Y443" s="213" t="s">
        <v>4996</v>
      </c>
      <c r="Z443" s="213" t="s">
        <v>3470</v>
      </c>
      <c r="AA443" s="213">
        <v>75</v>
      </c>
      <c r="AB443" s="213">
        <v>85</v>
      </c>
      <c r="AC443" s="207" t="s">
        <v>4530</v>
      </c>
      <c r="AD443"/>
      <c r="AE443" s="206"/>
      <c r="AF443" s="94"/>
      <c r="AG443" s="94"/>
      <c r="AH443" s="94"/>
      <c r="AI443" s="94"/>
      <c r="AJ443" s="94"/>
      <c r="AK443" s="94"/>
      <c r="AL443" s="94"/>
      <c r="AM443" s="254"/>
      <c r="AN443" s="254"/>
      <c r="AO443" s="94"/>
      <c r="AP443" s="94"/>
      <c r="AQ443" s="94"/>
      <c r="AR443" s="94"/>
      <c r="AS443" s="207"/>
    </row>
    <row r="444" spans="13:45" ht="12.75">
      <c r="M444" s="104"/>
      <c r="O444" s="206" t="s">
        <v>2618</v>
      </c>
      <c r="P444" s="94" t="s">
        <v>4670</v>
      </c>
      <c r="Q444" s="180">
        <v>128726</v>
      </c>
      <c r="R444" s="258">
        <v>1250</v>
      </c>
      <c r="S444" s="259">
        <v>75</v>
      </c>
      <c r="T444" s="213" t="s">
        <v>5000</v>
      </c>
      <c r="U444" s="213">
        <v>4</v>
      </c>
      <c r="V444" s="213" t="s">
        <v>3443</v>
      </c>
      <c r="W444" s="213" t="s">
        <v>3572</v>
      </c>
      <c r="X444" s="213" t="s">
        <v>3441</v>
      </c>
      <c r="Y444" s="213" t="s">
        <v>4995</v>
      </c>
      <c r="Z444" s="213" t="s">
        <v>4549</v>
      </c>
      <c r="AA444" s="213">
        <v>75</v>
      </c>
      <c r="AB444" s="213">
        <v>75</v>
      </c>
      <c r="AC444" s="207" t="s">
        <v>4530</v>
      </c>
      <c r="AD444"/>
      <c r="AE444" s="206"/>
      <c r="AF444" s="94"/>
      <c r="AG444" s="94"/>
      <c r="AH444" s="94"/>
      <c r="AI444" s="94"/>
      <c r="AJ444" s="94"/>
      <c r="AK444" s="94"/>
      <c r="AL444" s="94"/>
      <c r="AM444" s="254"/>
      <c r="AN444" s="254"/>
      <c r="AO444" s="94"/>
      <c r="AP444" s="94"/>
      <c r="AQ444" s="94"/>
      <c r="AR444" s="94"/>
      <c r="AS444" s="207"/>
    </row>
    <row r="445" spans="13:45" ht="12.75">
      <c r="M445" s="104"/>
      <c r="O445" s="206" t="s">
        <v>2959</v>
      </c>
      <c r="P445" s="94" t="s">
        <v>4671</v>
      </c>
      <c r="Q445" s="180">
        <v>141574</v>
      </c>
      <c r="R445" s="258">
        <v>1250</v>
      </c>
      <c r="S445" s="259">
        <v>75</v>
      </c>
      <c r="T445" s="213" t="s">
        <v>5000</v>
      </c>
      <c r="U445" s="213">
        <v>4</v>
      </c>
      <c r="V445" s="213" t="s">
        <v>3443</v>
      </c>
      <c r="W445" s="213" t="s">
        <v>3572</v>
      </c>
      <c r="X445" s="213" t="s">
        <v>3441</v>
      </c>
      <c r="Y445" s="213" t="s">
        <v>4999</v>
      </c>
      <c r="Z445" s="213" t="s">
        <v>4549</v>
      </c>
      <c r="AA445" s="213">
        <v>75</v>
      </c>
      <c r="AB445" s="213">
        <v>75</v>
      </c>
      <c r="AC445" s="207" t="s">
        <v>4530</v>
      </c>
      <c r="AD445"/>
      <c r="AE445" s="206"/>
      <c r="AF445" s="94"/>
      <c r="AG445" s="94"/>
      <c r="AH445" s="94"/>
      <c r="AI445" s="94"/>
      <c r="AJ445" s="94"/>
      <c r="AK445" s="94"/>
      <c r="AL445" s="94"/>
      <c r="AM445" s="254"/>
      <c r="AN445" s="254"/>
      <c r="AO445" s="94"/>
      <c r="AP445" s="94"/>
      <c r="AQ445" s="94"/>
      <c r="AR445" s="94"/>
      <c r="AS445" s="207"/>
    </row>
    <row r="446" spans="13:45" ht="12.75">
      <c r="M446" s="104"/>
      <c r="O446" s="206" t="s">
        <v>2960</v>
      </c>
      <c r="P446" s="94" t="s">
        <v>4672</v>
      </c>
      <c r="Q446" s="180">
        <v>134355</v>
      </c>
      <c r="R446" s="258">
        <v>1250</v>
      </c>
      <c r="S446" s="259">
        <v>75</v>
      </c>
      <c r="T446" s="213" t="s">
        <v>5000</v>
      </c>
      <c r="U446" s="213">
        <v>4</v>
      </c>
      <c r="V446" s="213" t="s">
        <v>3443</v>
      </c>
      <c r="W446" s="213" t="s">
        <v>3572</v>
      </c>
      <c r="X446" s="213" t="s">
        <v>3441</v>
      </c>
      <c r="Y446" s="213" t="s">
        <v>4996</v>
      </c>
      <c r="Z446" s="213" t="s">
        <v>4549</v>
      </c>
      <c r="AA446" s="213">
        <v>75</v>
      </c>
      <c r="AB446" s="213">
        <v>75</v>
      </c>
      <c r="AC446" s="207" t="s">
        <v>4530</v>
      </c>
      <c r="AD446"/>
      <c r="AE446" s="206"/>
      <c r="AF446" s="94"/>
      <c r="AG446" s="94"/>
      <c r="AH446" s="94"/>
      <c r="AI446" s="94"/>
      <c r="AJ446" s="94"/>
      <c r="AK446" s="94"/>
      <c r="AL446" s="94"/>
      <c r="AM446" s="254"/>
      <c r="AN446" s="254"/>
      <c r="AO446" s="94"/>
      <c r="AP446" s="94"/>
      <c r="AQ446" s="94"/>
      <c r="AR446" s="94"/>
      <c r="AS446" s="207"/>
    </row>
    <row r="447" spans="13:45" ht="12.75">
      <c r="M447" s="104"/>
      <c r="O447" s="206" t="s">
        <v>2961</v>
      </c>
      <c r="P447" s="94" t="s">
        <v>4673</v>
      </c>
      <c r="Q447" s="180">
        <v>165782</v>
      </c>
      <c r="R447" s="258">
        <v>1250</v>
      </c>
      <c r="S447" s="259">
        <v>75</v>
      </c>
      <c r="T447" s="213" t="s">
        <v>5000</v>
      </c>
      <c r="U447" s="213">
        <v>4</v>
      </c>
      <c r="V447" s="213" t="s">
        <v>3443</v>
      </c>
      <c r="W447" s="213" t="s">
        <v>3572</v>
      </c>
      <c r="X447" s="213" t="s">
        <v>3445</v>
      </c>
      <c r="Y447" s="213" t="s">
        <v>4999</v>
      </c>
      <c r="Z447" s="213" t="s">
        <v>4549</v>
      </c>
      <c r="AA447" s="213">
        <v>75</v>
      </c>
      <c r="AB447" s="213">
        <v>75</v>
      </c>
      <c r="AC447" s="207" t="s">
        <v>4530</v>
      </c>
      <c r="AD447"/>
      <c r="AE447" s="206"/>
      <c r="AF447" s="94"/>
      <c r="AG447" s="94"/>
      <c r="AH447" s="94"/>
      <c r="AI447" s="94"/>
      <c r="AJ447" s="94"/>
      <c r="AK447" s="94"/>
      <c r="AL447" s="94"/>
      <c r="AM447" s="254"/>
      <c r="AN447" s="254"/>
      <c r="AO447" s="94"/>
      <c r="AP447" s="94"/>
      <c r="AQ447" s="94"/>
      <c r="AR447" s="94"/>
      <c r="AS447" s="207"/>
    </row>
    <row r="448" spans="13:45" ht="12.75">
      <c r="M448" s="104"/>
      <c r="O448" s="206" t="s">
        <v>2962</v>
      </c>
      <c r="P448" s="94" t="s">
        <v>4674</v>
      </c>
      <c r="Q448" s="180">
        <v>158565</v>
      </c>
      <c r="R448" s="258">
        <v>1250</v>
      </c>
      <c r="S448" s="259">
        <v>75</v>
      </c>
      <c r="T448" s="213" t="s">
        <v>5000</v>
      </c>
      <c r="U448" s="213">
        <v>4</v>
      </c>
      <c r="V448" s="213" t="s">
        <v>3443</v>
      </c>
      <c r="W448" s="213" t="s">
        <v>3572</v>
      </c>
      <c r="X448" s="213" t="s">
        <v>3445</v>
      </c>
      <c r="Y448" s="213" t="s">
        <v>4996</v>
      </c>
      <c r="Z448" s="213" t="s">
        <v>4549</v>
      </c>
      <c r="AA448" s="213">
        <v>75</v>
      </c>
      <c r="AB448" s="213">
        <v>75</v>
      </c>
      <c r="AC448" s="207" t="s">
        <v>4530</v>
      </c>
      <c r="AD448"/>
      <c r="AE448" s="206"/>
      <c r="AF448" s="94"/>
      <c r="AG448" s="94"/>
      <c r="AH448" s="94"/>
      <c r="AI448" s="94"/>
      <c r="AJ448" s="94"/>
      <c r="AK448" s="94"/>
      <c r="AL448" s="94"/>
      <c r="AM448" s="254"/>
      <c r="AN448" s="254"/>
      <c r="AO448" s="94"/>
      <c r="AP448" s="94"/>
      <c r="AQ448" s="94"/>
      <c r="AR448" s="94"/>
      <c r="AS448" s="207"/>
    </row>
    <row r="449" spans="13:45" ht="12.75">
      <c r="M449" s="104"/>
      <c r="O449" s="206" t="s">
        <v>2963</v>
      </c>
      <c r="P449" s="94" t="s">
        <v>4675</v>
      </c>
      <c r="Q449" s="180">
        <v>135577</v>
      </c>
      <c r="R449" s="258">
        <v>1250</v>
      </c>
      <c r="S449" s="259">
        <v>100</v>
      </c>
      <c r="T449" s="213" t="s">
        <v>5000</v>
      </c>
      <c r="U449" s="213">
        <v>4</v>
      </c>
      <c r="V449" s="213" t="s">
        <v>3443</v>
      </c>
      <c r="W449" s="213" t="s">
        <v>3572</v>
      </c>
      <c r="X449" s="213" t="s">
        <v>3441</v>
      </c>
      <c r="Y449" s="213" t="s">
        <v>4995</v>
      </c>
      <c r="Z449" s="213" t="s">
        <v>3470</v>
      </c>
      <c r="AA449" s="213">
        <v>75</v>
      </c>
      <c r="AB449" s="213">
        <v>85</v>
      </c>
      <c r="AC449" s="207" t="s">
        <v>4530</v>
      </c>
      <c r="AD449"/>
      <c r="AE449" s="206"/>
      <c r="AF449" s="94"/>
      <c r="AG449" s="94"/>
      <c r="AH449" s="94"/>
      <c r="AI449" s="94"/>
      <c r="AJ449" s="94"/>
      <c r="AK449" s="94"/>
      <c r="AL449" s="94"/>
      <c r="AM449" s="254"/>
      <c r="AN449" s="254"/>
      <c r="AO449" s="94"/>
      <c r="AP449" s="94"/>
      <c r="AQ449" s="94"/>
      <c r="AR449" s="94"/>
      <c r="AS449" s="207"/>
    </row>
    <row r="450" spans="13:45" ht="12.75">
      <c r="M450" s="104"/>
      <c r="O450" s="206" t="s">
        <v>2964</v>
      </c>
      <c r="P450" s="94" t="s">
        <v>4676</v>
      </c>
      <c r="Q450" s="180">
        <v>148425</v>
      </c>
      <c r="R450" s="258">
        <v>1250</v>
      </c>
      <c r="S450" s="259">
        <v>100</v>
      </c>
      <c r="T450" s="213" t="s">
        <v>5000</v>
      </c>
      <c r="U450" s="213">
        <v>4</v>
      </c>
      <c r="V450" s="213" t="s">
        <v>3443</v>
      </c>
      <c r="W450" s="213" t="s">
        <v>3572</v>
      </c>
      <c r="X450" s="213" t="s">
        <v>3441</v>
      </c>
      <c r="Y450" s="213" t="s">
        <v>4999</v>
      </c>
      <c r="Z450" s="213" t="s">
        <v>3470</v>
      </c>
      <c r="AA450" s="213">
        <v>75</v>
      </c>
      <c r="AB450" s="213">
        <v>85</v>
      </c>
      <c r="AC450" s="207" t="s">
        <v>4530</v>
      </c>
      <c r="AD450"/>
      <c r="AE450" s="206"/>
      <c r="AF450" s="94"/>
      <c r="AG450" s="94"/>
      <c r="AH450" s="94"/>
      <c r="AI450" s="94"/>
      <c r="AJ450" s="94"/>
      <c r="AK450" s="94"/>
      <c r="AL450" s="94"/>
      <c r="AM450" s="254"/>
      <c r="AN450" s="254"/>
      <c r="AO450" s="94"/>
      <c r="AP450" s="94"/>
      <c r="AQ450" s="94"/>
      <c r="AR450" s="94"/>
      <c r="AS450" s="207"/>
    </row>
    <row r="451" spans="13:45" ht="12.75">
      <c r="M451" s="104"/>
      <c r="O451" s="206" t="s">
        <v>2965</v>
      </c>
      <c r="P451" s="94" t="s">
        <v>4677</v>
      </c>
      <c r="Q451" s="180">
        <v>141209</v>
      </c>
      <c r="R451" s="258">
        <v>1250</v>
      </c>
      <c r="S451" s="259">
        <v>100</v>
      </c>
      <c r="T451" s="213" t="s">
        <v>5000</v>
      </c>
      <c r="U451" s="213">
        <v>4</v>
      </c>
      <c r="V451" s="213" t="s">
        <v>3443</v>
      </c>
      <c r="W451" s="213" t="s">
        <v>3572</v>
      </c>
      <c r="X451" s="213" t="s">
        <v>3441</v>
      </c>
      <c r="Y451" s="213" t="s">
        <v>4996</v>
      </c>
      <c r="Z451" s="213" t="s">
        <v>3470</v>
      </c>
      <c r="AA451" s="213">
        <v>75</v>
      </c>
      <c r="AB451" s="213">
        <v>85</v>
      </c>
      <c r="AC451" s="207" t="s">
        <v>4530</v>
      </c>
      <c r="AD451"/>
      <c r="AE451" s="206"/>
      <c r="AF451" s="94"/>
      <c r="AG451" s="94"/>
      <c r="AH451" s="94"/>
      <c r="AI451" s="94"/>
      <c r="AJ451" s="94"/>
      <c r="AK451" s="94"/>
      <c r="AL451" s="94"/>
      <c r="AM451" s="254"/>
      <c r="AN451" s="254"/>
      <c r="AO451" s="94"/>
      <c r="AP451" s="94"/>
      <c r="AQ451" s="94"/>
      <c r="AR451" s="94"/>
      <c r="AS451" s="207"/>
    </row>
    <row r="452" spans="13:45" ht="12.75">
      <c r="M452" s="104"/>
      <c r="O452" s="206" t="s">
        <v>2966</v>
      </c>
      <c r="P452" s="94" t="s">
        <v>4678</v>
      </c>
      <c r="Q452" s="180">
        <v>172635</v>
      </c>
      <c r="R452" s="258">
        <v>1250</v>
      </c>
      <c r="S452" s="259">
        <v>100</v>
      </c>
      <c r="T452" s="213" t="s">
        <v>5000</v>
      </c>
      <c r="U452" s="213">
        <v>4</v>
      </c>
      <c r="V452" s="213" t="s">
        <v>3443</v>
      </c>
      <c r="W452" s="213" t="s">
        <v>3572</v>
      </c>
      <c r="X452" s="213" t="s">
        <v>3445</v>
      </c>
      <c r="Y452" s="213" t="s">
        <v>4999</v>
      </c>
      <c r="Z452" s="213" t="s">
        <v>3470</v>
      </c>
      <c r="AA452" s="213">
        <v>75</v>
      </c>
      <c r="AB452" s="213">
        <v>85</v>
      </c>
      <c r="AC452" s="207" t="s">
        <v>4530</v>
      </c>
      <c r="AD452"/>
      <c r="AE452" s="206"/>
      <c r="AF452" s="94"/>
      <c r="AG452" s="94"/>
      <c r="AH452" s="94"/>
      <c r="AI452" s="94"/>
      <c r="AJ452" s="94"/>
      <c r="AK452" s="94"/>
      <c r="AL452" s="94"/>
      <c r="AM452" s="254"/>
      <c r="AN452" s="254"/>
      <c r="AO452" s="94"/>
      <c r="AP452" s="94"/>
      <c r="AQ452" s="94"/>
      <c r="AR452" s="94"/>
      <c r="AS452" s="207"/>
    </row>
    <row r="453" spans="13:45" ht="12.75">
      <c r="M453" s="104"/>
      <c r="O453" s="206" t="s">
        <v>2967</v>
      </c>
      <c r="P453" s="94" t="s">
        <v>4679</v>
      </c>
      <c r="Q453" s="180">
        <v>165418</v>
      </c>
      <c r="R453" s="258">
        <v>1250</v>
      </c>
      <c r="S453" s="259">
        <v>100</v>
      </c>
      <c r="T453" s="213" t="s">
        <v>5000</v>
      </c>
      <c r="U453" s="213">
        <v>4</v>
      </c>
      <c r="V453" s="213" t="s">
        <v>3443</v>
      </c>
      <c r="W453" s="213" t="s">
        <v>3572</v>
      </c>
      <c r="X453" s="213" t="s">
        <v>3445</v>
      </c>
      <c r="Y453" s="213" t="s">
        <v>4996</v>
      </c>
      <c r="Z453" s="213" t="s">
        <v>3470</v>
      </c>
      <c r="AA453" s="213">
        <v>75</v>
      </c>
      <c r="AB453" s="213">
        <v>85</v>
      </c>
      <c r="AC453" s="207" t="s">
        <v>4530</v>
      </c>
      <c r="AD453"/>
      <c r="AE453" s="206"/>
      <c r="AF453" s="94"/>
      <c r="AG453" s="94"/>
      <c r="AH453" s="94"/>
      <c r="AI453" s="94"/>
      <c r="AJ453" s="94"/>
      <c r="AK453" s="94"/>
      <c r="AL453" s="94"/>
      <c r="AM453" s="254"/>
      <c r="AN453" s="254"/>
      <c r="AO453" s="94"/>
      <c r="AP453" s="94"/>
      <c r="AQ453" s="94"/>
      <c r="AR453" s="94"/>
      <c r="AS453" s="207"/>
    </row>
    <row r="454" spans="13:45" ht="12.75">
      <c r="M454" s="104"/>
      <c r="O454" s="206" t="s">
        <v>2968</v>
      </c>
      <c r="P454" s="94" t="s">
        <v>4680</v>
      </c>
      <c r="Q454" s="180">
        <v>161638</v>
      </c>
      <c r="R454" s="258">
        <v>1600</v>
      </c>
      <c r="S454" s="259">
        <v>75</v>
      </c>
      <c r="T454" s="213" t="s">
        <v>5000</v>
      </c>
      <c r="U454" s="213">
        <v>4</v>
      </c>
      <c r="V454" s="213" t="s">
        <v>3443</v>
      </c>
      <c r="W454" s="213" t="s">
        <v>3572</v>
      </c>
      <c r="X454" s="213" t="s">
        <v>3441</v>
      </c>
      <c r="Y454" s="213" t="s">
        <v>4995</v>
      </c>
      <c r="Z454" s="213" t="s">
        <v>4549</v>
      </c>
      <c r="AA454" s="213">
        <v>75</v>
      </c>
      <c r="AB454" s="213">
        <v>75</v>
      </c>
      <c r="AC454" s="207" t="s">
        <v>4530</v>
      </c>
      <c r="AD454"/>
      <c r="AE454" s="206"/>
      <c r="AF454" s="94"/>
      <c r="AG454" s="94"/>
      <c r="AH454" s="94"/>
      <c r="AI454" s="94"/>
      <c r="AJ454" s="94"/>
      <c r="AK454" s="94"/>
      <c r="AL454" s="94"/>
      <c r="AM454" s="254"/>
      <c r="AN454" s="254"/>
      <c r="AO454" s="94"/>
      <c r="AP454" s="94"/>
      <c r="AQ454" s="94"/>
      <c r="AR454" s="94"/>
      <c r="AS454" s="207"/>
    </row>
    <row r="455" spans="13:45" ht="12.75">
      <c r="M455" s="104"/>
      <c r="O455" s="206" t="s">
        <v>2969</v>
      </c>
      <c r="P455" s="94" t="s">
        <v>4048</v>
      </c>
      <c r="Q455" s="180">
        <v>174486</v>
      </c>
      <c r="R455" s="258">
        <v>1600</v>
      </c>
      <c r="S455" s="259">
        <v>75</v>
      </c>
      <c r="T455" s="213" t="s">
        <v>5000</v>
      </c>
      <c r="U455" s="213">
        <v>4</v>
      </c>
      <c r="V455" s="213" t="s">
        <v>3443</v>
      </c>
      <c r="W455" s="213" t="s">
        <v>3572</v>
      </c>
      <c r="X455" s="213" t="s">
        <v>3441</v>
      </c>
      <c r="Y455" s="213" t="s">
        <v>4999</v>
      </c>
      <c r="Z455" s="213" t="s">
        <v>4549</v>
      </c>
      <c r="AA455" s="213">
        <v>75</v>
      </c>
      <c r="AB455" s="213">
        <v>75</v>
      </c>
      <c r="AC455" s="207" t="s">
        <v>4530</v>
      </c>
      <c r="AD455"/>
      <c r="AE455" s="206"/>
      <c r="AF455" s="94"/>
      <c r="AG455" s="94"/>
      <c r="AH455" s="94"/>
      <c r="AI455" s="94"/>
      <c r="AJ455" s="94"/>
      <c r="AK455" s="94"/>
      <c r="AL455" s="94"/>
      <c r="AM455" s="254"/>
      <c r="AN455" s="254"/>
      <c r="AO455" s="94"/>
      <c r="AP455" s="94"/>
      <c r="AQ455" s="94"/>
      <c r="AR455" s="94"/>
      <c r="AS455" s="207"/>
    </row>
    <row r="456" spans="13:45" ht="12.75">
      <c r="M456" s="104"/>
      <c r="O456" s="206" t="s">
        <v>2970</v>
      </c>
      <c r="P456" s="94" t="s">
        <v>4049</v>
      </c>
      <c r="Q456" s="180">
        <v>167270</v>
      </c>
      <c r="R456" s="258">
        <v>1600</v>
      </c>
      <c r="S456" s="259">
        <v>75</v>
      </c>
      <c r="T456" s="213" t="s">
        <v>5000</v>
      </c>
      <c r="U456" s="213">
        <v>4</v>
      </c>
      <c r="V456" s="213" t="s">
        <v>3443</v>
      </c>
      <c r="W456" s="213" t="s">
        <v>3572</v>
      </c>
      <c r="X456" s="213" t="s">
        <v>3441</v>
      </c>
      <c r="Y456" s="213" t="s">
        <v>4996</v>
      </c>
      <c r="Z456" s="213" t="s">
        <v>4549</v>
      </c>
      <c r="AA456" s="213">
        <v>75</v>
      </c>
      <c r="AB456" s="213">
        <v>75</v>
      </c>
      <c r="AC456" s="207" t="s">
        <v>4530</v>
      </c>
      <c r="AD456"/>
      <c r="AE456" s="206"/>
      <c r="AF456" s="94"/>
      <c r="AG456" s="94"/>
      <c r="AH456" s="94"/>
      <c r="AI456" s="94"/>
      <c r="AJ456" s="94"/>
      <c r="AK456" s="94"/>
      <c r="AL456" s="94"/>
      <c r="AM456" s="254"/>
      <c r="AN456" s="254"/>
      <c r="AO456" s="94"/>
      <c r="AP456" s="94"/>
      <c r="AQ456" s="94"/>
      <c r="AR456" s="94"/>
      <c r="AS456" s="207"/>
    </row>
    <row r="457" spans="13:45" ht="12.75">
      <c r="M457" s="104"/>
      <c r="O457" s="206" t="s">
        <v>2971</v>
      </c>
      <c r="P457" s="94" t="s">
        <v>4050</v>
      </c>
      <c r="Q457" s="180">
        <v>198695</v>
      </c>
      <c r="R457" s="258">
        <v>1600</v>
      </c>
      <c r="S457" s="259">
        <v>75</v>
      </c>
      <c r="T457" s="213" t="s">
        <v>5000</v>
      </c>
      <c r="U457" s="213">
        <v>4</v>
      </c>
      <c r="V457" s="213" t="s">
        <v>3443</v>
      </c>
      <c r="W457" s="213" t="s">
        <v>3572</v>
      </c>
      <c r="X457" s="213" t="s">
        <v>3445</v>
      </c>
      <c r="Y457" s="213" t="s">
        <v>4999</v>
      </c>
      <c r="Z457" s="213" t="s">
        <v>4549</v>
      </c>
      <c r="AA457" s="213">
        <v>75</v>
      </c>
      <c r="AB457" s="213">
        <v>75</v>
      </c>
      <c r="AC457" s="207" t="s">
        <v>4530</v>
      </c>
      <c r="AD457"/>
      <c r="AE457" s="206"/>
      <c r="AF457" s="94"/>
      <c r="AG457" s="94"/>
      <c r="AH457" s="94"/>
      <c r="AI457" s="94"/>
      <c r="AJ457" s="94"/>
      <c r="AK457" s="94"/>
      <c r="AL457" s="94"/>
      <c r="AM457" s="254"/>
      <c r="AN457" s="254"/>
      <c r="AO457" s="94"/>
      <c r="AP457" s="94"/>
      <c r="AQ457" s="94"/>
      <c r="AR457" s="94"/>
      <c r="AS457" s="207"/>
    </row>
    <row r="458" spans="13:45" ht="12.75">
      <c r="M458" s="104"/>
      <c r="O458" s="206" t="s">
        <v>2972</v>
      </c>
      <c r="P458" s="94" t="s">
        <v>4051</v>
      </c>
      <c r="Q458" s="180">
        <v>191477</v>
      </c>
      <c r="R458" s="258">
        <v>1600</v>
      </c>
      <c r="S458" s="259">
        <v>75</v>
      </c>
      <c r="T458" s="213" t="s">
        <v>5000</v>
      </c>
      <c r="U458" s="213">
        <v>4</v>
      </c>
      <c r="V458" s="213" t="s">
        <v>3443</v>
      </c>
      <c r="W458" s="213" t="s">
        <v>3572</v>
      </c>
      <c r="X458" s="213" t="s">
        <v>3445</v>
      </c>
      <c r="Y458" s="213" t="s">
        <v>4996</v>
      </c>
      <c r="Z458" s="213" t="s">
        <v>4549</v>
      </c>
      <c r="AA458" s="213">
        <v>75</v>
      </c>
      <c r="AB458" s="213">
        <v>75</v>
      </c>
      <c r="AC458" s="207" t="s">
        <v>4530</v>
      </c>
      <c r="AD458"/>
      <c r="AE458" s="206"/>
      <c r="AF458" s="94"/>
      <c r="AG458" s="94"/>
      <c r="AH458" s="94"/>
      <c r="AI458" s="94"/>
      <c r="AJ458" s="94"/>
      <c r="AK458" s="94"/>
      <c r="AL458" s="94"/>
      <c r="AM458" s="254"/>
      <c r="AN458" s="254"/>
      <c r="AO458" s="94"/>
      <c r="AP458" s="94"/>
      <c r="AQ458" s="94"/>
      <c r="AR458" s="94"/>
      <c r="AS458" s="207"/>
    </row>
    <row r="459" spans="13:45" ht="12.75">
      <c r="M459" s="104"/>
      <c r="O459" s="206" t="s">
        <v>2973</v>
      </c>
      <c r="P459" s="94" t="s">
        <v>4052</v>
      </c>
      <c r="Q459" s="180">
        <v>169007</v>
      </c>
      <c r="R459" s="258">
        <v>1600</v>
      </c>
      <c r="S459" s="259">
        <v>100</v>
      </c>
      <c r="T459" s="213" t="s">
        <v>5000</v>
      </c>
      <c r="U459" s="213">
        <v>4</v>
      </c>
      <c r="V459" s="213" t="s">
        <v>3443</v>
      </c>
      <c r="W459" s="213" t="s">
        <v>3572</v>
      </c>
      <c r="X459" s="213" t="s">
        <v>3441</v>
      </c>
      <c r="Y459" s="213" t="s">
        <v>4995</v>
      </c>
      <c r="Z459" s="213" t="s">
        <v>3470</v>
      </c>
      <c r="AA459" s="213">
        <v>75</v>
      </c>
      <c r="AB459" s="213">
        <v>85</v>
      </c>
      <c r="AC459" s="207" t="s">
        <v>4530</v>
      </c>
      <c r="AD459"/>
      <c r="AE459" s="206"/>
      <c r="AF459" s="94"/>
      <c r="AG459" s="94"/>
      <c r="AH459" s="94"/>
      <c r="AI459" s="94"/>
      <c r="AJ459" s="94"/>
      <c r="AK459" s="94"/>
      <c r="AL459" s="94"/>
      <c r="AM459" s="254"/>
      <c r="AN459" s="254"/>
      <c r="AO459" s="94"/>
      <c r="AP459" s="94"/>
      <c r="AQ459" s="94"/>
      <c r="AR459" s="94"/>
      <c r="AS459" s="207"/>
    </row>
    <row r="460" spans="13:45" ht="12.75">
      <c r="M460" s="104"/>
      <c r="O460" s="206" t="s">
        <v>2974</v>
      </c>
      <c r="P460" s="94" t="s">
        <v>4053</v>
      </c>
      <c r="Q460" s="180">
        <v>181855</v>
      </c>
      <c r="R460" s="258">
        <v>1600</v>
      </c>
      <c r="S460" s="259">
        <v>100</v>
      </c>
      <c r="T460" s="213" t="s">
        <v>5000</v>
      </c>
      <c r="U460" s="213">
        <v>4</v>
      </c>
      <c r="V460" s="213" t="s">
        <v>3443</v>
      </c>
      <c r="W460" s="213" t="s">
        <v>3572</v>
      </c>
      <c r="X460" s="213" t="s">
        <v>3441</v>
      </c>
      <c r="Y460" s="213" t="s">
        <v>4999</v>
      </c>
      <c r="Z460" s="213" t="s">
        <v>3470</v>
      </c>
      <c r="AA460" s="213">
        <v>75</v>
      </c>
      <c r="AB460" s="213">
        <v>85</v>
      </c>
      <c r="AC460" s="207" t="s">
        <v>4530</v>
      </c>
      <c r="AD460"/>
      <c r="AE460" s="206"/>
      <c r="AF460" s="94"/>
      <c r="AG460" s="94"/>
      <c r="AH460" s="94"/>
      <c r="AI460" s="94"/>
      <c r="AJ460" s="94"/>
      <c r="AK460" s="94"/>
      <c r="AL460" s="94"/>
      <c r="AM460" s="254"/>
      <c r="AN460" s="254"/>
      <c r="AO460" s="94"/>
      <c r="AP460" s="94"/>
      <c r="AQ460" s="94"/>
      <c r="AR460" s="94"/>
      <c r="AS460" s="207"/>
    </row>
    <row r="461" spans="13:45" ht="12.75">
      <c r="M461" s="104"/>
      <c r="O461" s="206" t="s">
        <v>2975</v>
      </c>
      <c r="P461" s="94" t="s">
        <v>4054</v>
      </c>
      <c r="Q461" s="180">
        <v>174637</v>
      </c>
      <c r="R461" s="258">
        <v>1600</v>
      </c>
      <c r="S461" s="259">
        <v>100</v>
      </c>
      <c r="T461" s="213" t="s">
        <v>5000</v>
      </c>
      <c r="U461" s="213">
        <v>4</v>
      </c>
      <c r="V461" s="213" t="s">
        <v>3443</v>
      </c>
      <c r="W461" s="213" t="s">
        <v>3572</v>
      </c>
      <c r="X461" s="213" t="s">
        <v>3441</v>
      </c>
      <c r="Y461" s="213" t="s">
        <v>4996</v>
      </c>
      <c r="Z461" s="213" t="s">
        <v>3470</v>
      </c>
      <c r="AA461" s="213">
        <v>75</v>
      </c>
      <c r="AB461" s="213">
        <v>85</v>
      </c>
      <c r="AC461" s="207" t="s">
        <v>4530</v>
      </c>
      <c r="AD461"/>
      <c r="AE461" s="206"/>
      <c r="AF461" s="94"/>
      <c r="AG461" s="94"/>
      <c r="AH461" s="94"/>
      <c r="AI461" s="94"/>
      <c r="AJ461" s="94"/>
      <c r="AK461" s="94"/>
      <c r="AL461" s="94"/>
      <c r="AM461" s="254"/>
      <c r="AN461" s="254"/>
      <c r="AO461" s="94"/>
      <c r="AP461" s="94"/>
      <c r="AQ461" s="94"/>
      <c r="AR461" s="94"/>
      <c r="AS461" s="207"/>
    </row>
    <row r="462" spans="13:45" ht="12.75">
      <c r="M462" s="104"/>
      <c r="O462" s="206" t="s">
        <v>2976</v>
      </c>
      <c r="P462" s="94" t="s">
        <v>1608</v>
      </c>
      <c r="Q462" s="180">
        <v>206063</v>
      </c>
      <c r="R462" s="258">
        <v>1600</v>
      </c>
      <c r="S462" s="259">
        <v>100</v>
      </c>
      <c r="T462" s="213" t="s">
        <v>5000</v>
      </c>
      <c r="U462" s="213">
        <v>4</v>
      </c>
      <c r="V462" s="213" t="s">
        <v>3443</v>
      </c>
      <c r="W462" s="213" t="s">
        <v>3572</v>
      </c>
      <c r="X462" s="213" t="s">
        <v>3445</v>
      </c>
      <c r="Y462" s="213" t="s">
        <v>4999</v>
      </c>
      <c r="Z462" s="213" t="s">
        <v>3470</v>
      </c>
      <c r="AA462" s="213">
        <v>75</v>
      </c>
      <c r="AB462" s="213">
        <v>85</v>
      </c>
      <c r="AC462" s="207" t="s">
        <v>4530</v>
      </c>
      <c r="AD462"/>
      <c r="AE462" s="206"/>
      <c r="AF462" s="94"/>
      <c r="AG462" s="94"/>
      <c r="AH462" s="94"/>
      <c r="AI462" s="94"/>
      <c r="AJ462" s="94"/>
      <c r="AK462" s="94"/>
      <c r="AL462" s="94"/>
      <c r="AM462" s="254"/>
      <c r="AN462" s="254"/>
      <c r="AO462" s="94"/>
      <c r="AP462" s="94"/>
      <c r="AQ462" s="94"/>
      <c r="AR462" s="94"/>
      <c r="AS462" s="207"/>
    </row>
    <row r="463" spans="13:45" ht="12.75">
      <c r="M463" s="104"/>
      <c r="O463" s="206" t="s">
        <v>2977</v>
      </c>
      <c r="P463" s="94" t="s">
        <v>1609</v>
      </c>
      <c r="Q463" s="180">
        <v>198847</v>
      </c>
      <c r="R463" s="258">
        <v>1600</v>
      </c>
      <c r="S463" s="259">
        <v>100</v>
      </c>
      <c r="T463" s="213" t="s">
        <v>5000</v>
      </c>
      <c r="U463" s="213">
        <v>4</v>
      </c>
      <c r="V463" s="213" t="s">
        <v>3443</v>
      </c>
      <c r="W463" s="213" t="s">
        <v>3572</v>
      </c>
      <c r="X463" s="213" t="s">
        <v>3445</v>
      </c>
      <c r="Y463" s="213" t="s">
        <v>4996</v>
      </c>
      <c r="Z463" s="213" t="s">
        <v>3470</v>
      </c>
      <c r="AA463" s="213">
        <v>75</v>
      </c>
      <c r="AB463" s="213">
        <v>85</v>
      </c>
      <c r="AC463" s="207" t="s">
        <v>4530</v>
      </c>
      <c r="AD463"/>
      <c r="AE463" s="206"/>
      <c r="AF463" s="94"/>
      <c r="AG463" s="94"/>
      <c r="AH463" s="94"/>
      <c r="AI463" s="94"/>
      <c r="AJ463" s="94"/>
      <c r="AK463" s="94"/>
      <c r="AL463" s="94"/>
      <c r="AM463" s="254"/>
      <c r="AN463" s="254"/>
      <c r="AO463" s="94"/>
      <c r="AP463" s="94"/>
      <c r="AQ463" s="94"/>
      <c r="AR463" s="94"/>
      <c r="AS463" s="207"/>
    </row>
    <row r="464" spans="13:45" ht="12.75">
      <c r="M464" s="104"/>
      <c r="O464" s="206" t="s">
        <v>2978</v>
      </c>
      <c r="P464" s="94" t="s">
        <v>1330</v>
      </c>
      <c r="Q464" s="180">
        <v>193468</v>
      </c>
      <c r="R464" s="258">
        <v>2000</v>
      </c>
      <c r="S464" s="259">
        <v>75</v>
      </c>
      <c r="T464" s="213" t="s">
        <v>5000</v>
      </c>
      <c r="U464" s="213">
        <v>4</v>
      </c>
      <c r="V464" s="213" t="s">
        <v>3443</v>
      </c>
      <c r="W464" s="213" t="s">
        <v>3572</v>
      </c>
      <c r="X464" s="213" t="s">
        <v>3441</v>
      </c>
      <c r="Y464" s="213" t="s">
        <v>4995</v>
      </c>
      <c r="Z464" s="213" t="s">
        <v>4549</v>
      </c>
      <c r="AA464" s="213">
        <v>75</v>
      </c>
      <c r="AB464" s="213">
        <v>75</v>
      </c>
      <c r="AC464" s="207" t="s">
        <v>4530</v>
      </c>
      <c r="AD464"/>
      <c r="AE464" s="206"/>
      <c r="AF464" s="94"/>
      <c r="AG464" s="94"/>
      <c r="AH464" s="94"/>
      <c r="AI464" s="94"/>
      <c r="AJ464" s="94"/>
      <c r="AK464" s="94"/>
      <c r="AL464" s="94"/>
      <c r="AM464" s="254"/>
      <c r="AN464" s="254"/>
      <c r="AO464" s="94"/>
      <c r="AP464" s="94"/>
      <c r="AQ464" s="94"/>
      <c r="AR464" s="94"/>
      <c r="AS464" s="207"/>
    </row>
    <row r="465" spans="13:45" ht="12.75">
      <c r="M465" s="104"/>
      <c r="O465" s="206" t="s">
        <v>2979</v>
      </c>
      <c r="P465" s="94" t="s">
        <v>5028</v>
      </c>
      <c r="Q465" s="180">
        <v>206315</v>
      </c>
      <c r="R465" s="258">
        <v>2000</v>
      </c>
      <c r="S465" s="259">
        <v>75</v>
      </c>
      <c r="T465" s="213" t="s">
        <v>5000</v>
      </c>
      <c r="U465" s="213">
        <v>4</v>
      </c>
      <c r="V465" s="213" t="s">
        <v>3443</v>
      </c>
      <c r="W465" s="213" t="s">
        <v>3572</v>
      </c>
      <c r="X465" s="213" t="s">
        <v>3441</v>
      </c>
      <c r="Y465" s="213" t="s">
        <v>4999</v>
      </c>
      <c r="Z465" s="213" t="s">
        <v>4549</v>
      </c>
      <c r="AA465" s="213">
        <v>75</v>
      </c>
      <c r="AB465" s="213">
        <v>75</v>
      </c>
      <c r="AC465" s="207" t="s">
        <v>4530</v>
      </c>
      <c r="AD465"/>
      <c r="AE465" s="206"/>
      <c r="AF465" s="94"/>
      <c r="AG465" s="94"/>
      <c r="AH465" s="94"/>
      <c r="AI465" s="94"/>
      <c r="AJ465" s="94"/>
      <c r="AK465" s="94"/>
      <c r="AL465" s="94"/>
      <c r="AM465" s="254"/>
      <c r="AN465" s="254"/>
      <c r="AO465" s="94"/>
      <c r="AP465" s="94"/>
      <c r="AQ465" s="94"/>
      <c r="AR465" s="94"/>
      <c r="AS465" s="207"/>
    </row>
    <row r="466" spans="13:45" ht="12.75">
      <c r="M466" s="104"/>
      <c r="O466" s="206" t="s">
        <v>2980</v>
      </c>
      <c r="P466" s="94" t="s">
        <v>5029</v>
      </c>
      <c r="Q466" s="180">
        <v>199099</v>
      </c>
      <c r="R466" s="258">
        <v>2000</v>
      </c>
      <c r="S466" s="259">
        <v>75</v>
      </c>
      <c r="T466" s="213" t="s">
        <v>5000</v>
      </c>
      <c r="U466" s="213">
        <v>4</v>
      </c>
      <c r="V466" s="213" t="s">
        <v>3443</v>
      </c>
      <c r="W466" s="213" t="s">
        <v>3572</v>
      </c>
      <c r="X466" s="213" t="s">
        <v>3441</v>
      </c>
      <c r="Y466" s="213" t="s">
        <v>4996</v>
      </c>
      <c r="Z466" s="213" t="s">
        <v>4549</v>
      </c>
      <c r="AA466" s="213">
        <v>75</v>
      </c>
      <c r="AB466" s="213">
        <v>75</v>
      </c>
      <c r="AC466" s="207" t="s">
        <v>4530</v>
      </c>
      <c r="AD466"/>
      <c r="AE466" s="206"/>
      <c r="AF466" s="94"/>
      <c r="AG466" s="94"/>
      <c r="AH466" s="94"/>
      <c r="AI466" s="94"/>
      <c r="AJ466" s="94"/>
      <c r="AK466" s="94"/>
      <c r="AL466" s="94"/>
      <c r="AM466" s="254"/>
      <c r="AN466" s="254"/>
      <c r="AO466" s="94"/>
      <c r="AP466" s="94"/>
      <c r="AQ466" s="94"/>
      <c r="AR466" s="94"/>
      <c r="AS466" s="207"/>
    </row>
    <row r="467" spans="13:45" ht="12.75">
      <c r="M467" s="104"/>
      <c r="O467" s="206" t="s">
        <v>2981</v>
      </c>
      <c r="P467" s="94" t="s">
        <v>5030</v>
      </c>
      <c r="Q467" s="180">
        <v>230525</v>
      </c>
      <c r="R467" s="258">
        <v>2000</v>
      </c>
      <c r="S467" s="259">
        <v>75</v>
      </c>
      <c r="T467" s="213" t="s">
        <v>5000</v>
      </c>
      <c r="U467" s="213">
        <v>4</v>
      </c>
      <c r="V467" s="213" t="s">
        <v>3443</v>
      </c>
      <c r="W467" s="213" t="s">
        <v>3572</v>
      </c>
      <c r="X467" s="213" t="s">
        <v>3445</v>
      </c>
      <c r="Y467" s="213" t="s">
        <v>4999</v>
      </c>
      <c r="Z467" s="213" t="s">
        <v>4549</v>
      </c>
      <c r="AA467" s="213">
        <v>75</v>
      </c>
      <c r="AB467" s="213">
        <v>75</v>
      </c>
      <c r="AC467" s="207" t="s">
        <v>4530</v>
      </c>
      <c r="AD467"/>
      <c r="AE467" s="206"/>
      <c r="AF467" s="94"/>
      <c r="AG467" s="94"/>
      <c r="AH467" s="94"/>
      <c r="AI467" s="94"/>
      <c r="AJ467" s="94"/>
      <c r="AK467" s="94"/>
      <c r="AL467" s="94"/>
      <c r="AM467" s="254"/>
      <c r="AN467" s="254"/>
      <c r="AO467" s="94"/>
      <c r="AP467" s="94"/>
      <c r="AQ467" s="94"/>
      <c r="AR467" s="94"/>
      <c r="AS467" s="207"/>
    </row>
    <row r="468" spans="13:45" ht="12.75">
      <c r="M468" s="104"/>
      <c r="O468" s="206" t="s">
        <v>2627</v>
      </c>
      <c r="P468" s="94" t="s">
        <v>5031</v>
      </c>
      <c r="Q468" s="180">
        <v>223308</v>
      </c>
      <c r="R468" s="258">
        <v>2000</v>
      </c>
      <c r="S468" s="259">
        <v>75</v>
      </c>
      <c r="T468" s="213" t="s">
        <v>5000</v>
      </c>
      <c r="U468" s="213">
        <v>4</v>
      </c>
      <c r="V468" s="213" t="s">
        <v>3443</v>
      </c>
      <c r="W468" s="213" t="s">
        <v>3572</v>
      </c>
      <c r="X468" s="213" t="s">
        <v>3445</v>
      </c>
      <c r="Y468" s="213" t="s">
        <v>4996</v>
      </c>
      <c r="Z468" s="213" t="s">
        <v>4549</v>
      </c>
      <c r="AA468" s="213">
        <v>75</v>
      </c>
      <c r="AB468" s="213">
        <v>75</v>
      </c>
      <c r="AC468" s="207" t="s">
        <v>4530</v>
      </c>
      <c r="AD468"/>
      <c r="AE468" s="206"/>
      <c r="AF468" s="94"/>
      <c r="AG468" s="94"/>
      <c r="AH468" s="94"/>
      <c r="AI468" s="94"/>
      <c r="AJ468" s="94"/>
      <c r="AK468" s="94"/>
      <c r="AL468" s="94"/>
      <c r="AM468" s="254"/>
      <c r="AN468" s="254"/>
      <c r="AO468" s="94"/>
      <c r="AP468" s="94"/>
      <c r="AQ468" s="94"/>
      <c r="AR468" s="94"/>
      <c r="AS468" s="207"/>
    </row>
    <row r="469" spans="13:45" ht="12.75">
      <c r="M469" s="104"/>
      <c r="O469" s="206" t="s">
        <v>2628</v>
      </c>
      <c r="P469" s="94" t="s">
        <v>2756</v>
      </c>
      <c r="Q469" s="180">
        <v>200635</v>
      </c>
      <c r="R469" s="258">
        <v>2000</v>
      </c>
      <c r="S469" s="259">
        <v>100</v>
      </c>
      <c r="T469" s="213" t="s">
        <v>5000</v>
      </c>
      <c r="U469" s="213">
        <v>4</v>
      </c>
      <c r="V469" s="213" t="s">
        <v>3443</v>
      </c>
      <c r="W469" s="213" t="s">
        <v>3572</v>
      </c>
      <c r="X469" s="213" t="s">
        <v>3441</v>
      </c>
      <c r="Y469" s="213" t="s">
        <v>4995</v>
      </c>
      <c r="Z469" s="213" t="s">
        <v>3470</v>
      </c>
      <c r="AA469" s="213">
        <v>75</v>
      </c>
      <c r="AB469" s="213">
        <v>85</v>
      </c>
      <c r="AC469" s="207" t="s">
        <v>4530</v>
      </c>
      <c r="AD469"/>
      <c r="AE469" s="206"/>
      <c r="AF469" s="94"/>
      <c r="AG469" s="94"/>
      <c r="AH469" s="94"/>
      <c r="AI469" s="94"/>
      <c r="AJ469" s="94"/>
      <c r="AK469" s="94"/>
      <c r="AL469" s="94"/>
      <c r="AM469" s="254"/>
      <c r="AN469" s="254"/>
      <c r="AO469" s="94"/>
      <c r="AP469" s="94"/>
      <c r="AQ469" s="94"/>
      <c r="AR469" s="94"/>
      <c r="AS469" s="207"/>
    </row>
    <row r="470" spans="13:45" ht="12.75">
      <c r="M470" s="104"/>
      <c r="O470" s="206" t="s">
        <v>2629</v>
      </c>
      <c r="P470" s="94" t="s">
        <v>2757</v>
      </c>
      <c r="Q470" s="180">
        <v>213483</v>
      </c>
      <c r="R470" s="258">
        <v>2000</v>
      </c>
      <c r="S470" s="259">
        <v>100</v>
      </c>
      <c r="T470" s="213" t="s">
        <v>5000</v>
      </c>
      <c r="U470" s="213">
        <v>4</v>
      </c>
      <c r="V470" s="213" t="s">
        <v>3443</v>
      </c>
      <c r="W470" s="213" t="s">
        <v>3572</v>
      </c>
      <c r="X470" s="213" t="s">
        <v>3441</v>
      </c>
      <c r="Y470" s="213" t="s">
        <v>4999</v>
      </c>
      <c r="Z470" s="213" t="s">
        <v>3470</v>
      </c>
      <c r="AA470" s="213">
        <v>75</v>
      </c>
      <c r="AB470" s="213">
        <v>85</v>
      </c>
      <c r="AC470" s="207" t="s">
        <v>4530</v>
      </c>
      <c r="AD470"/>
      <c r="AE470" s="206"/>
      <c r="AF470" s="94"/>
      <c r="AG470" s="94"/>
      <c r="AH470" s="94"/>
      <c r="AI470" s="94"/>
      <c r="AJ470" s="94"/>
      <c r="AK470" s="94"/>
      <c r="AL470" s="94"/>
      <c r="AM470" s="254"/>
      <c r="AN470" s="254"/>
      <c r="AO470" s="94"/>
      <c r="AP470" s="94"/>
      <c r="AQ470" s="94"/>
      <c r="AR470" s="94"/>
      <c r="AS470" s="207"/>
    </row>
    <row r="471" spans="13:45" ht="12.75">
      <c r="M471" s="104"/>
      <c r="O471" s="206" t="s">
        <v>2630</v>
      </c>
      <c r="P471" s="94" t="s">
        <v>2758</v>
      </c>
      <c r="Q471" s="180">
        <v>206265</v>
      </c>
      <c r="R471" s="258">
        <v>2000</v>
      </c>
      <c r="S471" s="259">
        <v>100</v>
      </c>
      <c r="T471" s="213" t="s">
        <v>5000</v>
      </c>
      <c r="U471" s="213">
        <v>4</v>
      </c>
      <c r="V471" s="213" t="s">
        <v>3443</v>
      </c>
      <c r="W471" s="213" t="s">
        <v>3572</v>
      </c>
      <c r="X471" s="213" t="s">
        <v>3441</v>
      </c>
      <c r="Y471" s="213" t="s">
        <v>4996</v>
      </c>
      <c r="Z471" s="213" t="s">
        <v>3470</v>
      </c>
      <c r="AA471" s="213">
        <v>75</v>
      </c>
      <c r="AB471" s="213">
        <v>85</v>
      </c>
      <c r="AC471" s="207" t="s">
        <v>4530</v>
      </c>
      <c r="AD471"/>
      <c r="AE471" s="206"/>
      <c r="AF471" s="94"/>
      <c r="AG471" s="94"/>
      <c r="AH471" s="94"/>
      <c r="AI471" s="94"/>
      <c r="AJ471" s="94"/>
      <c r="AK471" s="94"/>
      <c r="AL471" s="94"/>
      <c r="AM471" s="254"/>
      <c r="AN471" s="254"/>
      <c r="AO471" s="94"/>
      <c r="AP471" s="94"/>
      <c r="AQ471" s="94"/>
      <c r="AR471" s="94"/>
      <c r="AS471" s="207"/>
    </row>
    <row r="472" spans="13:45" ht="12.75">
      <c r="M472" s="104"/>
      <c r="O472" s="206" t="s">
        <v>2631</v>
      </c>
      <c r="P472" s="94" t="s">
        <v>2759</v>
      </c>
      <c r="Q472" s="180">
        <v>237692</v>
      </c>
      <c r="R472" s="258">
        <v>2000</v>
      </c>
      <c r="S472" s="259">
        <v>100</v>
      </c>
      <c r="T472" s="213" t="s">
        <v>5000</v>
      </c>
      <c r="U472" s="213">
        <v>4</v>
      </c>
      <c r="V472" s="213" t="s">
        <v>3443</v>
      </c>
      <c r="W472" s="213" t="s">
        <v>3572</v>
      </c>
      <c r="X472" s="213" t="s">
        <v>3445</v>
      </c>
      <c r="Y472" s="213" t="s">
        <v>4999</v>
      </c>
      <c r="Z472" s="213" t="s">
        <v>3470</v>
      </c>
      <c r="AA472" s="213">
        <v>75</v>
      </c>
      <c r="AB472" s="213">
        <v>85</v>
      </c>
      <c r="AC472" s="207" t="s">
        <v>4530</v>
      </c>
      <c r="AD472"/>
      <c r="AE472" s="206"/>
      <c r="AF472" s="94"/>
      <c r="AG472" s="94"/>
      <c r="AH472" s="94"/>
      <c r="AI472" s="94"/>
      <c r="AJ472" s="94"/>
      <c r="AK472" s="94"/>
      <c r="AL472" s="94"/>
      <c r="AM472" s="254"/>
      <c r="AN472" s="254"/>
      <c r="AO472" s="94"/>
      <c r="AP472" s="94"/>
      <c r="AQ472" s="94"/>
      <c r="AR472" s="94"/>
      <c r="AS472" s="207"/>
    </row>
    <row r="473" spans="13:45" ht="12.75">
      <c r="M473" s="104"/>
      <c r="O473" s="206" t="s">
        <v>2632</v>
      </c>
      <c r="P473" s="94" t="s">
        <v>2760</v>
      </c>
      <c r="Q473" s="180">
        <v>230475</v>
      </c>
      <c r="R473" s="258">
        <v>2000</v>
      </c>
      <c r="S473" s="259">
        <v>100</v>
      </c>
      <c r="T473" s="213" t="s">
        <v>5000</v>
      </c>
      <c r="U473" s="213">
        <v>4</v>
      </c>
      <c r="V473" s="213" t="s">
        <v>3443</v>
      </c>
      <c r="W473" s="213" t="s">
        <v>3572</v>
      </c>
      <c r="X473" s="213" t="s">
        <v>3445</v>
      </c>
      <c r="Y473" s="213" t="s">
        <v>4996</v>
      </c>
      <c r="Z473" s="213" t="s">
        <v>3470</v>
      </c>
      <c r="AA473" s="213">
        <v>75</v>
      </c>
      <c r="AB473" s="213">
        <v>85</v>
      </c>
      <c r="AC473" s="207" t="s">
        <v>4530</v>
      </c>
      <c r="AD473"/>
      <c r="AE473" s="206"/>
      <c r="AF473" s="94"/>
      <c r="AG473" s="94"/>
      <c r="AH473" s="94"/>
      <c r="AI473" s="94"/>
      <c r="AJ473" s="94"/>
      <c r="AK473" s="94"/>
      <c r="AL473" s="94"/>
      <c r="AM473" s="254"/>
      <c r="AN473" s="254"/>
      <c r="AO473" s="94"/>
      <c r="AP473" s="94"/>
      <c r="AQ473" s="94"/>
      <c r="AR473" s="94"/>
      <c r="AS473" s="207"/>
    </row>
    <row r="474" spans="13:45" ht="12.75">
      <c r="M474" s="104"/>
      <c r="O474" s="206" t="s">
        <v>2633</v>
      </c>
      <c r="P474" s="94" t="s">
        <v>2761</v>
      </c>
      <c r="Q474" s="180">
        <v>227262</v>
      </c>
      <c r="R474" s="258">
        <v>2000</v>
      </c>
      <c r="S474" s="259" t="s">
        <v>5004</v>
      </c>
      <c r="T474" s="213" t="s">
        <v>5000</v>
      </c>
      <c r="U474" s="213">
        <v>4</v>
      </c>
      <c r="V474" s="213" t="s">
        <v>3443</v>
      </c>
      <c r="W474" s="213" t="s">
        <v>3572</v>
      </c>
      <c r="X474" s="213" t="s">
        <v>3441</v>
      </c>
      <c r="Y474" s="213" t="s">
        <v>4995</v>
      </c>
      <c r="Z474" s="213" t="s">
        <v>3125</v>
      </c>
      <c r="AA474" s="213">
        <v>15</v>
      </c>
      <c r="AB474" s="213">
        <v>130</v>
      </c>
      <c r="AC474" s="207" t="s">
        <v>3651</v>
      </c>
      <c r="AD474"/>
      <c r="AE474" s="206"/>
      <c r="AF474" s="94"/>
      <c r="AG474" s="94"/>
      <c r="AH474" s="94"/>
      <c r="AI474" s="94"/>
      <c r="AJ474" s="94"/>
      <c r="AK474" s="94"/>
      <c r="AL474" s="94"/>
      <c r="AM474" s="254"/>
      <c r="AN474" s="254"/>
      <c r="AO474" s="94"/>
      <c r="AP474" s="94"/>
      <c r="AQ474" s="94"/>
      <c r="AR474" s="94"/>
      <c r="AS474" s="207"/>
    </row>
    <row r="475" spans="13:45" ht="12.75">
      <c r="M475" s="104"/>
      <c r="O475" s="206" t="s">
        <v>2634</v>
      </c>
      <c r="P475" s="94" t="s">
        <v>2762</v>
      </c>
      <c r="Q475" s="180">
        <v>240111</v>
      </c>
      <c r="R475" s="258">
        <v>2000</v>
      </c>
      <c r="S475" s="259" t="s">
        <v>5004</v>
      </c>
      <c r="T475" s="213" t="s">
        <v>5000</v>
      </c>
      <c r="U475" s="213">
        <v>4</v>
      </c>
      <c r="V475" s="213" t="s">
        <v>3443</v>
      </c>
      <c r="W475" s="213" t="s">
        <v>3572</v>
      </c>
      <c r="X475" s="213" t="s">
        <v>3441</v>
      </c>
      <c r="Y475" s="213" t="s">
        <v>4999</v>
      </c>
      <c r="Z475" s="213" t="s">
        <v>3125</v>
      </c>
      <c r="AA475" s="213">
        <v>15</v>
      </c>
      <c r="AB475" s="213">
        <v>130</v>
      </c>
      <c r="AC475" s="207" t="s">
        <v>3651</v>
      </c>
      <c r="AD475"/>
      <c r="AE475" s="206"/>
      <c r="AF475" s="94"/>
      <c r="AG475" s="94"/>
      <c r="AH475" s="94"/>
      <c r="AI475" s="94"/>
      <c r="AJ475" s="94"/>
      <c r="AK475" s="94"/>
      <c r="AL475" s="94"/>
      <c r="AM475" s="254"/>
      <c r="AN475" s="254"/>
      <c r="AO475" s="94"/>
      <c r="AP475" s="94"/>
      <c r="AQ475" s="94"/>
      <c r="AR475" s="94"/>
      <c r="AS475" s="207"/>
    </row>
    <row r="476" spans="13:45" ht="12.75">
      <c r="M476" s="104"/>
      <c r="O476" s="206" t="s">
        <v>2635</v>
      </c>
      <c r="P476" s="94" t="s">
        <v>2763</v>
      </c>
      <c r="Q476" s="180">
        <v>232893</v>
      </c>
      <c r="R476" s="258">
        <v>2000</v>
      </c>
      <c r="S476" s="259" t="s">
        <v>5004</v>
      </c>
      <c r="T476" s="213" t="s">
        <v>5000</v>
      </c>
      <c r="U476" s="213">
        <v>4</v>
      </c>
      <c r="V476" s="213" t="s">
        <v>3443</v>
      </c>
      <c r="W476" s="213" t="s">
        <v>3572</v>
      </c>
      <c r="X476" s="213" t="s">
        <v>3441</v>
      </c>
      <c r="Y476" s="213" t="s">
        <v>4996</v>
      </c>
      <c r="Z476" s="213" t="s">
        <v>3125</v>
      </c>
      <c r="AA476" s="213">
        <v>15</v>
      </c>
      <c r="AB476" s="213">
        <v>130</v>
      </c>
      <c r="AC476" s="207" t="s">
        <v>3651</v>
      </c>
      <c r="AD476"/>
      <c r="AE476" s="206"/>
      <c r="AF476" s="94"/>
      <c r="AG476" s="94"/>
      <c r="AH476" s="94"/>
      <c r="AI476" s="94"/>
      <c r="AJ476" s="94"/>
      <c r="AK476" s="94"/>
      <c r="AL476" s="94"/>
      <c r="AM476" s="254"/>
      <c r="AN476" s="254"/>
      <c r="AO476" s="94"/>
      <c r="AP476" s="94"/>
      <c r="AQ476" s="94"/>
      <c r="AR476" s="94"/>
      <c r="AS476" s="207"/>
    </row>
    <row r="477" spans="13:45" ht="12.75">
      <c r="M477" s="104"/>
      <c r="O477" s="206" t="s">
        <v>2636</v>
      </c>
      <c r="P477" s="94" t="s">
        <v>2764</v>
      </c>
      <c r="Q477" s="180">
        <v>264320</v>
      </c>
      <c r="R477" s="258">
        <v>2000</v>
      </c>
      <c r="S477" s="259" t="s">
        <v>5004</v>
      </c>
      <c r="T477" s="213" t="s">
        <v>5000</v>
      </c>
      <c r="U477" s="213">
        <v>4</v>
      </c>
      <c r="V477" s="213" t="s">
        <v>3443</v>
      </c>
      <c r="W477" s="213" t="s">
        <v>3572</v>
      </c>
      <c r="X477" s="213" t="s">
        <v>3445</v>
      </c>
      <c r="Y477" s="213" t="s">
        <v>4999</v>
      </c>
      <c r="Z477" s="213" t="s">
        <v>3125</v>
      </c>
      <c r="AA477" s="213">
        <v>15</v>
      </c>
      <c r="AB477" s="213">
        <v>130</v>
      </c>
      <c r="AC477" s="207" t="s">
        <v>3651</v>
      </c>
      <c r="AD477"/>
      <c r="AE477" s="206"/>
      <c r="AF477" s="94"/>
      <c r="AG477" s="94"/>
      <c r="AH477" s="94"/>
      <c r="AI477" s="94"/>
      <c r="AJ477" s="94"/>
      <c r="AK477" s="94"/>
      <c r="AL477" s="94"/>
      <c r="AM477" s="254"/>
      <c r="AN477" s="254"/>
      <c r="AO477" s="94"/>
      <c r="AP477" s="94"/>
      <c r="AQ477" s="94"/>
      <c r="AR477" s="94"/>
      <c r="AS477" s="207"/>
    </row>
    <row r="478" spans="13:45" ht="12.75">
      <c r="M478" s="104"/>
      <c r="O478" s="206" t="s">
        <v>2637</v>
      </c>
      <c r="P478" s="94" t="s">
        <v>2765</v>
      </c>
      <c r="Q478" s="180">
        <v>257101</v>
      </c>
      <c r="R478" s="258">
        <v>2000</v>
      </c>
      <c r="S478" s="259" t="s">
        <v>5004</v>
      </c>
      <c r="T478" s="213" t="s">
        <v>5000</v>
      </c>
      <c r="U478" s="213">
        <v>4</v>
      </c>
      <c r="V478" s="213" t="s">
        <v>3443</v>
      </c>
      <c r="W478" s="213" t="s">
        <v>3572</v>
      </c>
      <c r="X478" s="213" t="s">
        <v>3445</v>
      </c>
      <c r="Y478" s="213" t="s">
        <v>4996</v>
      </c>
      <c r="Z478" s="213" t="s">
        <v>3125</v>
      </c>
      <c r="AA478" s="213">
        <v>15</v>
      </c>
      <c r="AB478" s="213">
        <v>130</v>
      </c>
      <c r="AC478" s="207" t="s">
        <v>3651</v>
      </c>
      <c r="AD478"/>
      <c r="AE478" s="206"/>
      <c r="AF478" s="94"/>
      <c r="AG478" s="94"/>
      <c r="AH478" s="94"/>
      <c r="AI478" s="94"/>
      <c r="AJ478" s="94"/>
      <c r="AK478" s="94"/>
      <c r="AL478" s="94"/>
      <c r="AM478" s="254"/>
      <c r="AN478" s="254"/>
      <c r="AO478" s="94"/>
      <c r="AP478" s="94"/>
      <c r="AQ478" s="94"/>
      <c r="AR478" s="94"/>
      <c r="AS478" s="207"/>
    </row>
    <row r="479" spans="13:45" ht="12.75">
      <c r="M479" s="104"/>
      <c r="O479" s="206" t="s">
        <v>2638</v>
      </c>
      <c r="P479" s="94" t="s">
        <v>2766</v>
      </c>
      <c r="Q479" s="180">
        <v>216063</v>
      </c>
      <c r="R479" s="258">
        <v>2500</v>
      </c>
      <c r="S479" s="259">
        <v>65</v>
      </c>
      <c r="T479" s="213" t="s">
        <v>5000</v>
      </c>
      <c r="U479" s="213">
        <v>4</v>
      </c>
      <c r="V479" s="213" t="s">
        <v>3443</v>
      </c>
      <c r="W479" s="213" t="s">
        <v>3572</v>
      </c>
      <c r="X479" s="213" t="s">
        <v>3441</v>
      </c>
      <c r="Y479" s="213" t="s">
        <v>4995</v>
      </c>
      <c r="Z479" s="213" t="s">
        <v>3356</v>
      </c>
      <c r="AA479" s="213">
        <v>65</v>
      </c>
      <c r="AB479" s="213">
        <v>65</v>
      </c>
      <c r="AC479" s="207" t="s">
        <v>4530</v>
      </c>
      <c r="AD479"/>
      <c r="AE479" s="206"/>
      <c r="AF479" s="94"/>
      <c r="AG479" s="94"/>
      <c r="AH479" s="94"/>
      <c r="AI479" s="94"/>
      <c r="AJ479" s="94"/>
      <c r="AK479" s="94"/>
      <c r="AL479" s="94"/>
      <c r="AM479" s="254"/>
      <c r="AN479" s="254"/>
      <c r="AO479" s="94"/>
      <c r="AP479" s="94"/>
      <c r="AQ479" s="94"/>
      <c r="AR479" s="94"/>
      <c r="AS479" s="207"/>
    </row>
    <row r="480" spans="13:45" ht="12.75">
      <c r="M480" s="104"/>
      <c r="O480" s="206" t="s">
        <v>2639</v>
      </c>
      <c r="P480" s="94" t="s">
        <v>2767</v>
      </c>
      <c r="Q480" s="180">
        <v>228909</v>
      </c>
      <c r="R480" s="258">
        <v>2500</v>
      </c>
      <c r="S480" s="259">
        <v>65</v>
      </c>
      <c r="T480" s="213" t="s">
        <v>5000</v>
      </c>
      <c r="U480" s="213">
        <v>4</v>
      </c>
      <c r="V480" s="213" t="s">
        <v>3443</v>
      </c>
      <c r="W480" s="213" t="s">
        <v>3572</v>
      </c>
      <c r="X480" s="213" t="s">
        <v>3441</v>
      </c>
      <c r="Y480" s="213" t="s">
        <v>4999</v>
      </c>
      <c r="Z480" s="213" t="s">
        <v>3356</v>
      </c>
      <c r="AA480" s="213">
        <v>65</v>
      </c>
      <c r="AB480" s="213">
        <v>65</v>
      </c>
      <c r="AC480" s="207" t="s">
        <v>4530</v>
      </c>
      <c r="AD480"/>
      <c r="AE480" s="206"/>
      <c r="AF480" s="94"/>
      <c r="AG480" s="94"/>
      <c r="AH480" s="94"/>
      <c r="AI480" s="94"/>
      <c r="AJ480" s="94"/>
      <c r="AK480" s="94"/>
      <c r="AL480" s="94"/>
      <c r="AM480" s="254"/>
      <c r="AN480" s="254"/>
      <c r="AO480" s="94"/>
      <c r="AP480" s="94"/>
      <c r="AQ480" s="94"/>
      <c r="AR480" s="94"/>
      <c r="AS480" s="207"/>
    </row>
    <row r="481" spans="13:45" ht="12.75">
      <c r="M481" s="104"/>
      <c r="O481" s="206" t="s">
        <v>2640</v>
      </c>
      <c r="P481" s="94" t="s">
        <v>2817</v>
      </c>
      <c r="Q481" s="180">
        <v>221693</v>
      </c>
      <c r="R481" s="258">
        <v>2500</v>
      </c>
      <c r="S481" s="259">
        <v>65</v>
      </c>
      <c r="T481" s="213" t="s">
        <v>5000</v>
      </c>
      <c r="U481" s="213">
        <v>4</v>
      </c>
      <c r="V481" s="213" t="s">
        <v>3443</v>
      </c>
      <c r="W481" s="213" t="s">
        <v>3572</v>
      </c>
      <c r="X481" s="213" t="s">
        <v>3441</v>
      </c>
      <c r="Y481" s="213" t="s">
        <v>4996</v>
      </c>
      <c r="Z481" s="213" t="s">
        <v>3356</v>
      </c>
      <c r="AA481" s="213">
        <v>65</v>
      </c>
      <c r="AB481" s="213">
        <v>65</v>
      </c>
      <c r="AC481" s="207" t="s">
        <v>4530</v>
      </c>
      <c r="AD481"/>
      <c r="AE481" s="206"/>
      <c r="AF481" s="94"/>
      <c r="AG481" s="94"/>
      <c r="AH481" s="94"/>
      <c r="AI481" s="94"/>
      <c r="AJ481" s="94"/>
      <c r="AK481" s="94"/>
      <c r="AL481" s="94"/>
      <c r="AM481" s="254"/>
      <c r="AN481" s="254"/>
      <c r="AO481" s="94"/>
      <c r="AP481" s="94"/>
      <c r="AQ481" s="94"/>
      <c r="AR481" s="94"/>
      <c r="AS481" s="207"/>
    </row>
    <row r="482" spans="13:45" ht="12.75">
      <c r="M482" s="104"/>
      <c r="O482" s="206" t="s">
        <v>2641</v>
      </c>
      <c r="P482" s="94" t="s">
        <v>2818</v>
      </c>
      <c r="Q482" s="180">
        <v>253120</v>
      </c>
      <c r="R482" s="258">
        <v>2500</v>
      </c>
      <c r="S482" s="259">
        <v>65</v>
      </c>
      <c r="T482" s="213" t="s">
        <v>5000</v>
      </c>
      <c r="U482" s="213">
        <v>4</v>
      </c>
      <c r="V482" s="213" t="s">
        <v>3443</v>
      </c>
      <c r="W482" s="213" t="s">
        <v>3572</v>
      </c>
      <c r="X482" s="213" t="s">
        <v>3445</v>
      </c>
      <c r="Y482" s="213" t="s">
        <v>4999</v>
      </c>
      <c r="Z482" s="213" t="s">
        <v>3356</v>
      </c>
      <c r="AA482" s="213">
        <v>65</v>
      </c>
      <c r="AB482" s="213">
        <v>65</v>
      </c>
      <c r="AC482" s="207" t="s">
        <v>4530</v>
      </c>
      <c r="AD482"/>
      <c r="AE482" s="206"/>
      <c r="AF482" s="94"/>
      <c r="AG482" s="94"/>
      <c r="AH482" s="94"/>
      <c r="AI482" s="94"/>
      <c r="AJ482" s="94"/>
      <c r="AK482" s="94"/>
      <c r="AL482" s="94"/>
      <c r="AM482" s="254"/>
      <c r="AN482" s="254"/>
      <c r="AO482" s="94"/>
      <c r="AP482" s="94"/>
      <c r="AQ482" s="94"/>
      <c r="AR482" s="94"/>
      <c r="AS482" s="207"/>
    </row>
    <row r="483" spans="13:45" ht="12.75">
      <c r="M483" s="104"/>
      <c r="O483" s="206" t="s">
        <v>2642</v>
      </c>
      <c r="P483" s="94" t="s">
        <v>2819</v>
      </c>
      <c r="Q483" s="180">
        <v>245902</v>
      </c>
      <c r="R483" s="258">
        <v>2500</v>
      </c>
      <c r="S483" s="259">
        <v>65</v>
      </c>
      <c r="T483" s="213" t="s">
        <v>5000</v>
      </c>
      <c r="U483" s="213">
        <v>4</v>
      </c>
      <c r="V483" s="213" t="s">
        <v>3443</v>
      </c>
      <c r="W483" s="213" t="s">
        <v>3572</v>
      </c>
      <c r="X483" s="213" t="s">
        <v>3445</v>
      </c>
      <c r="Y483" s="213" t="s">
        <v>4996</v>
      </c>
      <c r="Z483" s="213" t="s">
        <v>3356</v>
      </c>
      <c r="AA483" s="213">
        <v>65</v>
      </c>
      <c r="AB483" s="213">
        <v>65</v>
      </c>
      <c r="AC483" s="207" t="s">
        <v>4530</v>
      </c>
      <c r="AD483"/>
      <c r="AE483" s="206"/>
      <c r="AF483" s="94"/>
      <c r="AG483" s="94"/>
      <c r="AH483" s="94"/>
      <c r="AI483" s="94"/>
      <c r="AJ483" s="94"/>
      <c r="AK483" s="94"/>
      <c r="AL483" s="94"/>
      <c r="AM483" s="254"/>
      <c r="AN483" s="254"/>
      <c r="AO483" s="94"/>
      <c r="AP483" s="94"/>
      <c r="AQ483" s="94"/>
      <c r="AR483" s="94"/>
      <c r="AS483" s="207"/>
    </row>
    <row r="484" spans="13:45" ht="12.75">
      <c r="M484" s="104"/>
      <c r="O484" s="206" t="s">
        <v>2643</v>
      </c>
      <c r="P484" s="94" t="s">
        <v>2820</v>
      </c>
      <c r="Q484" s="180">
        <v>253412</v>
      </c>
      <c r="R484" s="258">
        <v>2500</v>
      </c>
      <c r="S484" s="259">
        <v>75</v>
      </c>
      <c r="T484" s="213" t="s">
        <v>5000</v>
      </c>
      <c r="U484" s="213">
        <v>4</v>
      </c>
      <c r="V484" s="213" t="s">
        <v>3443</v>
      </c>
      <c r="W484" s="213" t="s">
        <v>3572</v>
      </c>
      <c r="X484" s="213" t="s">
        <v>3441</v>
      </c>
      <c r="Y484" s="213" t="s">
        <v>4995</v>
      </c>
      <c r="Z484" s="213" t="s">
        <v>4549</v>
      </c>
      <c r="AA484" s="213">
        <v>75</v>
      </c>
      <c r="AB484" s="213">
        <v>75</v>
      </c>
      <c r="AC484" s="207" t="s">
        <v>4530</v>
      </c>
      <c r="AD484"/>
      <c r="AE484" s="206"/>
      <c r="AF484" s="94"/>
      <c r="AG484" s="94"/>
      <c r="AH484" s="94"/>
      <c r="AI484" s="94"/>
      <c r="AJ484" s="94"/>
      <c r="AK484" s="94"/>
      <c r="AL484" s="94"/>
      <c r="AM484" s="254"/>
      <c r="AN484" s="254"/>
      <c r="AO484" s="94"/>
      <c r="AP484" s="94"/>
      <c r="AQ484" s="94"/>
      <c r="AR484" s="94"/>
      <c r="AS484" s="207"/>
    </row>
    <row r="485" spans="13:45" ht="12.75">
      <c r="M485" s="104"/>
      <c r="O485" s="206" t="s">
        <v>2644</v>
      </c>
      <c r="P485" s="94" t="s">
        <v>2821</v>
      </c>
      <c r="Q485" s="180">
        <v>266259</v>
      </c>
      <c r="R485" s="258">
        <v>2500</v>
      </c>
      <c r="S485" s="259">
        <v>75</v>
      </c>
      <c r="T485" s="213" t="s">
        <v>5000</v>
      </c>
      <c r="U485" s="213">
        <v>4</v>
      </c>
      <c r="V485" s="213" t="s">
        <v>3443</v>
      </c>
      <c r="W485" s="213" t="s">
        <v>3572</v>
      </c>
      <c r="X485" s="213" t="s">
        <v>3441</v>
      </c>
      <c r="Y485" s="213" t="s">
        <v>4999</v>
      </c>
      <c r="Z485" s="213" t="s">
        <v>4549</v>
      </c>
      <c r="AA485" s="213">
        <v>75</v>
      </c>
      <c r="AB485" s="213">
        <v>75</v>
      </c>
      <c r="AC485" s="207" t="s">
        <v>4530</v>
      </c>
      <c r="AD485"/>
      <c r="AE485" s="206"/>
      <c r="AF485" s="94"/>
      <c r="AG485" s="94"/>
      <c r="AH485" s="94"/>
      <c r="AI485" s="94"/>
      <c r="AJ485" s="94"/>
      <c r="AK485" s="94"/>
      <c r="AL485" s="94"/>
      <c r="AM485" s="254"/>
      <c r="AN485" s="254"/>
      <c r="AO485" s="94"/>
      <c r="AP485" s="94"/>
      <c r="AQ485" s="94"/>
      <c r="AR485" s="94"/>
      <c r="AS485" s="207"/>
    </row>
    <row r="486" spans="13:45" ht="12.75">
      <c r="M486" s="104"/>
      <c r="O486" s="206" t="s">
        <v>2645</v>
      </c>
      <c r="P486" s="94" t="s">
        <v>2822</v>
      </c>
      <c r="Q486" s="180">
        <v>259043</v>
      </c>
      <c r="R486" s="258">
        <v>2500</v>
      </c>
      <c r="S486" s="259">
        <v>75</v>
      </c>
      <c r="T486" s="213" t="s">
        <v>5000</v>
      </c>
      <c r="U486" s="213">
        <v>4</v>
      </c>
      <c r="V486" s="213" t="s">
        <v>3443</v>
      </c>
      <c r="W486" s="213" t="s">
        <v>3572</v>
      </c>
      <c r="X486" s="213" t="s">
        <v>3441</v>
      </c>
      <c r="Y486" s="213" t="s">
        <v>4996</v>
      </c>
      <c r="Z486" s="213" t="s">
        <v>4549</v>
      </c>
      <c r="AA486" s="213">
        <v>75</v>
      </c>
      <c r="AB486" s="213">
        <v>75</v>
      </c>
      <c r="AC486" s="207" t="s">
        <v>4530</v>
      </c>
      <c r="AD486"/>
      <c r="AE486" s="206"/>
      <c r="AF486" s="94"/>
      <c r="AG486" s="94"/>
      <c r="AH486" s="94"/>
      <c r="AI486" s="94"/>
      <c r="AJ486" s="94"/>
      <c r="AK486" s="94"/>
      <c r="AL486" s="94"/>
      <c r="AM486" s="254"/>
      <c r="AN486" s="254"/>
      <c r="AO486" s="94"/>
      <c r="AP486" s="94"/>
      <c r="AQ486" s="94"/>
      <c r="AR486" s="94"/>
      <c r="AS486" s="207"/>
    </row>
    <row r="487" spans="13:45" ht="12.75">
      <c r="M487" s="104"/>
      <c r="O487" s="206" t="s">
        <v>2646</v>
      </c>
      <c r="P487" s="94" t="s">
        <v>2823</v>
      </c>
      <c r="Q487" s="180">
        <v>290469</v>
      </c>
      <c r="R487" s="258">
        <v>2500</v>
      </c>
      <c r="S487" s="259">
        <v>75</v>
      </c>
      <c r="T487" s="213" t="s">
        <v>5000</v>
      </c>
      <c r="U487" s="213">
        <v>4</v>
      </c>
      <c r="V487" s="213" t="s">
        <v>3443</v>
      </c>
      <c r="W487" s="213" t="s">
        <v>3572</v>
      </c>
      <c r="X487" s="213" t="s">
        <v>3445</v>
      </c>
      <c r="Y487" s="213" t="s">
        <v>4999</v>
      </c>
      <c r="Z487" s="213" t="s">
        <v>4549</v>
      </c>
      <c r="AA487" s="213">
        <v>75</v>
      </c>
      <c r="AB487" s="213">
        <v>75</v>
      </c>
      <c r="AC487" s="207" t="s">
        <v>4530</v>
      </c>
      <c r="AD487"/>
      <c r="AE487" s="206"/>
      <c r="AF487" s="94"/>
      <c r="AG487" s="94"/>
      <c r="AH487" s="94"/>
      <c r="AI487" s="94"/>
      <c r="AJ487" s="94"/>
      <c r="AK487" s="94"/>
      <c r="AL487" s="94"/>
      <c r="AM487" s="254"/>
      <c r="AN487" s="254"/>
      <c r="AO487" s="94"/>
      <c r="AP487" s="94"/>
      <c r="AQ487" s="94"/>
      <c r="AR487" s="94"/>
      <c r="AS487" s="207"/>
    </row>
    <row r="488" spans="13:45" ht="12.75">
      <c r="M488" s="104"/>
      <c r="O488" s="206" t="s">
        <v>2647</v>
      </c>
      <c r="P488" s="94" t="s">
        <v>2824</v>
      </c>
      <c r="Q488" s="180">
        <v>283252</v>
      </c>
      <c r="R488" s="258">
        <v>2500</v>
      </c>
      <c r="S488" s="259">
        <v>75</v>
      </c>
      <c r="T488" s="213" t="s">
        <v>5000</v>
      </c>
      <c r="U488" s="213">
        <v>4</v>
      </c>
      <c r="V488" s="213" t="s">
        <v>3443</v>
      </c>
      <c r="W488" s="213" t="s">
        <v>3572</v>
      </c>
      <c r="X488" s="213" t="s">
        <v>3445</v>
      </c>
      <c r="Y488" s="213" t="s">
        <v>4996</v>
      </c>
      <c r="Z488" s="213" t="s">
        <v>4549</v>
      </c>
      <c r="AA488" s="213">
        <v>75</v>
      </c>
      <c r="AB488" s="213">
        <v>75</v>
      </c>
      <c r="AC488" s="207" t="s">
        <v>4530</v>
      </c>
      <c r="AD488"/>
      <c r="AE488" s="206"/>
      <c r="AF488" s="94"/>
      <c r="AG488" s="94"/>
      <c r="AH488" s="94"/>
      <c r="AI488" s="94"/>
      <c r="AJ488" s="94"/>
      <c r="AK488" s="94"/>
      <c r="AL488" s="94"/>
      <c r="AM488" s="254"/>
      <c r="AN488" s="254"/>
      <c r="AO488" s="94"/>
      <c r="AP488" s="94"/>
      <c r="AQ488" s="94"/>
      <c r="AR488" s="94"/>
      <c r="AS488" s="207"/>
    </row>
    <row r="489" spans="13:45" ht="12.75">
      <c r="M489" s="104"/>
      <c r="O489" s="206" t="s">
        <v>2648</v>
      </c>
      <c r="P489" s="94" t="s">
        <v>2825</v>
      </c>
      <c r="Q489" s="180">
        <v>260579</v>
      </c>
      <c r="R489" s="258">
        <v>2500</v>
      </c>
      <c r="S489" s="259">
        <v>100</v>
      </c>
      <c r="T489" s="213" t="s">
        <v>5000</v>
      </c>
      <c r="U489" s="213">
        <v>4</v>
      </c>
      <c r="V489" s="213" t="s">
        <v>3443</v>
      </c>
      <c r="W489" s="213" t="s">
        <v>3572</v>
      </c>
      <c r="X489" s="213" t="s">
        <v>3441</v>
      </c>
      <c r="Y489" s="213" t="s">
        <v>4995</v>
      </c>
      <c r="Z489" s="213" t="s">
        <v>3470</v>
      </c>
      <c r="AA489" s="213">
        <v>75</v>
      </c>
      <c r="AB489" s="213">
        <v>85</v>
      </c>
      <c r="AC489" s="207" t="s">
        <v>4530</v>
      </c>
      <c r="AD489"/>
      <c r="AE489" s="206"/>
      <c r="AF489" s="94"/>
      <c r="AG489" s="94"/>
      <c r="AH489" s="94"/>
      <c r="AI489" s="94"/>
      <c r="AJ489" s="94"/>
      <c r="AK489" s="94"/>
      <c r="AL489" s="94"/>
      <c r="AM489" s="254"/>
      <c r="AN489" s="254"/>
      <c r="AO489" s="94"/>
      <c r="AP489" s="94"/>
      <c r="AQ489" s="94"/>
      <c r="AR489" s="94"/>
      <c r="AS489" s="207"/>
    </row>
    <row r="490" spans="13:45" ht="12.75">
      <c r="M490" s="104"/>
      <c r="O490" s="206" t="s">
        <v>2649</v>
      </c>
      <c r="P490" s="94" t="s">
        <v>2826</v>
      </c>
      <c r="Q490" s="180">
        <v>273426</v>
      </c>
      <c r="R490" s="258">
        <v>2500</v>
      </c>
      <c r="S490" s="259">
        <v>100</v>
      </c>
      <c r="T490" s="213" t="s">
        <v>5000</v>
      </c>
      <c r="U490" s="213">
        <v>4</v>
      </c>
      <c r="V490" s="213" t="s">
        <v>3443</v>
      </c>
      <c r="W490" s="213" t="s">
        <v>3572</v>
      </c>
      <c r="X490" s="213" t="s">
        <v>3441</v>
      </c>
      <c r="Y490" s="213" t="s">
        <v>4999</v>
      </c>
      <c r="Z490" s="213" t="s">
        <v>3470</v>
      </c>
      <c r="AA490" s="213">
        <v>75</v>
      </c>
      <c r="AB490" s="213">
        <v>85</v>
      </c>
      <c r="AC490" s="207" t="s">
        <v>4530</v>
      </c>
      <c r="AD490"/>
      <c r="AE490" s="206"/>
      <c r="AF490" s="94"/>
      <c r="AG490" s="94"/>
      <c r="AH490" s="94"/>
      <c r="AI490" s="94"/>
      <c r="AJ490" s="94"/>
      <c r="AK490" s="94"/>
      <c r="AL490" s="94"/>
      <c r="AM490" s="254"/>
      <c r="AN490" s="254"/>
      <c r="AO490" s="94"/>
      <c r="AP490" s="94"/>
      <c r="AQ490" s="94"/>
      <c r="AR490" s="94"/>
      <c r="AS490" s="207"/>
    </row>
    <row r="491" spans="13:45" ht="12.75">
      <c r="M491" s="104"/>
      <c r="O491" s="206" t="s">
        <v>2650</v>
      </c>
      <c r="P491" s="94" t="s">
        <v>2827</v>
      </c>
      <c r="Q491" s="180">
        <v>266209</v>
      </c>
      <c r="R491" s="258">
        <v>2500</v>
      </c>
      <c r="S491" s="259">
        <v>100</v>
      </c>
      <c r="T491" s="213" t="s">
        <v>5000</v>
      </c>
      <c r="U491" s="213">
        <v>4</v>
      </c>
      <c r="V491" s="213" t="s">
        <v>3443</v>
      </c>
      <c r="W491" s="213" t="s">
        <v>3572</v>
      </c>
      <c r="X491" s="213" t="s">
        <v>3441</v>
      </c>
      <c r="Y491" s="213" t="s">
        <v>4996</v>
      </c>
      <c r="Z491" s="213" t="s">
        <v>3470</v>
      </c>
      <c r="AA491" s="213">
        <v>75</v>
      </c>
      <c r="AB491" s="213">
        <v>85</v>
      </c>
      <c r="AC491" s="207" t="s">
        <v>4530</v>
      </c>
      <c r="AD491"/>
      <c r="AE491" s="206"/>
      <c r="AF491" s="94"/>
      <c r="AG491" s="94"/>
      <c r="AH491" s="94"/>
      <c r="AI491" s="94"/>
      <c r="AJ491" s="94"/>
      <c r="AK491" s="94"/>
      <c r="AL491" s="94"/>
      <c r="AM491" s="254"/>
      <c r="AN491" s="254"/>
      <c r="AO491" s="94"/>
      <c r="AP491" s="94"/>
      <c r="AQ491" s="94"/>
      <c r="AR491" s="94"/>
      <c r="AS491" s="207"/>
    </row>
    <row r="492" spans="13:45" ht="12.75">
      <c r="M492" s="104"/>
      <c r="O492" s="206" t="s">
        <v>2651</v>
      </c>
      <c r="P492" s="94" t="s">
        <v>2828</v>
      </c>
      <c r="Q492" s="180">
        <v>297635</v>
      </c>
      <c r="R492" s="258">
        <v>2500</v>
      </c>
      <c r="S492" s="259">
        <v>100</v>
      </c>
      <c r="T492" s="213" t="s">
        <v>5000</v>
      </c>
      <c r="U492" s="213">
        <v>4</v>
      </c>
      <c r="V492" s="213" t="s">
        <v>3443</v>
      </c>
      <c r="W492" s="213" t="s">
        <v>3572</v>
      </c>
      <c r="X492" s="213" t="s">
        <v>3445</v>
      </c>
      <c r="Y492" s="213" t="s">
        <v>4999</v>
      </c>
      <c r="Z492" s="213" t="s">
        <v>3470</v>
      </c>
      <c r="AA492" s="213">
        <v>75</v>
      </c>
      <c r="AB492" s="213">
        <v>85</v>
      </c>
      <c r="AC492" s="207" t="s">
        <v>4530</v>
      </c>
      <c r="AD492"/>
      <c r="AE492" s="206"/>
      <c r="AF492" s="94"/>
      <c r="AG492" s="94"/>
      <c r="AH492" s="94"/>
      <c r="AI492" s="94"/>
      <c r="AJ492" s="94"/>
      <c r="AK492" s="94"/>
      <c r="AL492" s="94"/>
      <c r="AM492" s="254"/>
      <c r="AN492" s="254"/>
      <c r="AO492" s="94"/>
      <c r="AP492" s="94"/>
      <c r="AQ492" s="94"/>
      <c r="AR492" s="94"/>
      <c r="AS492" s="207"/>
    </row>
    <row r="493" spans="13:45" ht="12.75">
      <c r="M493" s="104"/>
      <c r="O493" s="206" t="s">
        <v>2652</v>
      </c>
      <c r="P493" s="94" t="s">
        <v>2829</v>
      </c>
      <c r="Q493" s="180">
        <v>290419</v>
      </c>
      <c r="R493" s="258">
        <v>2500</v>
      </c>
      <c r="S493" s="259">
        <v>100</v>
      </c>
      <c r="T493" s="213" t="s">
        <v>5000</v>
      </c>
      <c r="U493" s="213">
        <v>4</v>
      </c>
      <c r="V493" s="213" t="s">
        <v>3443</v>
      </c>
      <c r="W493" s="213" t="s">
        <v>3572</v>
      </c>
      <c r="X493" s="213" t="s">
        <v>3445</v>
      </c>
      <c r="Y493" s="213" t="s">
        <v>4996</v>
      </c>
      <c r="Z493" s="213" t="s">
        <v>3470</v>
      </c>
      <c r="AA493" s="213">
        <v>75</v>
      </c>
      <c r="AB493" s="213">
        <v>85</v>
      </c>
      <c r="AC493" s="207" t="s">
        <v>4530</v>
      </c>
      <c r="AD493"/>
      <c r="AE493" s="206"/>
      <c r="AF493" s="94"/>
      <c r="AG493" s="94"/>
      <c r="AH493" s="94"/>
      <c r="AI493" s="94"/>
      <c r="AJ493" s="94"/>
      <c r="AK493" s="94"/>
      <c r="AL493" s="94"/>
      <c r="AM493" s="254"/>
      <c r="AN493" s="254"/>
      <c r="AO493" s="94"/>
      <c r="AP493" s="94"/>
      <c r="AQ493" s="94"/>
      <c r="AR493" s="94"/>
      <c r="AS493" s="207"/>
    </row>
    <row r="494" spans="13:45" ht="12.75">
      <c r="M494" s="104"/>
      <c r="O494" s="206" t="s">
        <v>2653</v>
      </c>
      <c r="P494" s="94" t="s">
        <v>3359</v>
      </c>
      <c r="Q494" s="180">
        <v>284334</v>
      </c>
      <c r="R494" s="258">
        <v>2500</v>
      </c>
      <c r="S494" s="259" t="s">
        <v>5004</v>
      </c>
      <c r="T494" s="213" t="s">
        <v>5000</v>
      </c>
      <c r="U494" s="213">
        <v>4</v>
      </c>
      <c r="V494" s="213" t="s">
        <v>3443</v>
      </c>
      <c r="W494" s="213" t="s">
        <v>3572</v>
      </c>
      <c r="X494" s="213" t="s">
        <v>3441</v>
      </c>
      <c r="Y494" s="213" t="s">
        <v>4995</v>
      </c>
      <c r="Z494" s="213" t="s">
        <v>3125</v>
      </c>
      <c r="AA494" s="213">
        <v>15</v>
      </c>
      <c r="AB494" s="213">
        <v>130</v>
      </c>
      <c r="AC494" s="207" t="s">
        <v>3651</v>
      </c>
      <c r="AD494"/>
      <c r="AE494" s="206"/>
      <c r="AF494" s="94"/>
      <c r="AG494" s="94"/>
      <c r="AH494" s="94"/>
      <c r="AI494" s="94"/>
      <c r="AJ494" s="94"/>
      <c r="AK494" s="94"/>
      <c r="AL494" s="94"/>
      <c r="AM494" s="254"/>
      <c r="AN494" s="254"/>
      <c r="AO494" s="94"/>
      <c r="AP494" s="94"/>
      <c r="AQ494" s="94"/>
      <c r="AR494" s="94"/>
      <c r="AS494" s="207"/>
    </row>
    <row r="495" spans="13:45" ht="12.75">
      <c r="M495" s="104"/>
      <c r="O495" s="206" t="s">
        <v>2654</v>
      </c>
      <c r="P495" s="94" t="s">
        <v>2803</v>
      </c>
      <c r="Q495" s="180">
        <v>297183</v>
      </c>
      <c r="R495" s="258">
        <v>2500</v>
      </c>
      <c r="S495" s="259" t="s">
        <v>5004</v>
      </c>
      <c r="T495" s="213" t="s">
        <v>5000</v>
      </c>
      <c r="U495" s="213">
        <v>4</v>
      </c>
      <c r="V495" s="213" t="s">
        <v>3443</v>
      </c>
      <c r="W495" s="213" t="s">
        <v>3572</v>
      </c>
      <c r="X495" s="213" t="s">
        <v>3441</v>
      </c>
      <c r="Y495" s="213" t="s">
        <v>4999</v>
      </c>
      <c r="Z495" s="213" t="s">
        <v>3125</v>
      </c>
      <c r="AA495" s="213">
        <v>15</v>
      </c>
      <c r="AB495" s="213">
        <v>130</v>
      </c>
      <c r="AC495" s="207" t="s">
        <v>3651</v>
      </c>
      <c r="AD495"/>
      <c r="AE495" s="206"/>
      <c r="AF495" s="94"/>
      <c r="AG495" s="94"/>
      <c r="AH495" s="94"/>
      <c r="AI495" s="94"/>
      <c r="AJ495" s="94"/>
      <c r="AK495" s="94"/>
      <c r="AL495" s="94"/>
      <c r="AM495" s="254"/>
      <c r="AN495" s="254"/>
      <c r="AO495" s="94"/>
      <c r="AP495" s="94"/>
      <c r="AQ495" s="94"/>
      <c r="AR495" s="94"/>
      <c r="AS495" s="207"/>
    </row>
    <row r="496" spans="13:45" ht="12.75">
      <c r="M496" s="104"/>
      <c r="O496" s="206" t="s">
        <v>2655</v>
      </c>
      <c r="P496" s="94" t="s">
        <v>2804</v>
      </c>
      <c r="Q496" s="180">
        <v>289964</v>
      </c>
      <c r="R496" s="258">
        <v>2500</v>
      </c>
      <c r="S496" s="259" t="s">
        <v>5004</v>
      </c>
      <c r="T496" s="213" t="s">
        <v>5000</v>
      </c>
      <c r="U496" s="213">
        <v>4</v>
      </c>
      <c r="V496" s="213" t="s">
        <v>3443</v>
      </c>
      <c r="W496" s="213" t="s">
        <v>3572</v>
      </c>
      <c r="X496" s="213" t="s">
        <v>3441</v>
      </c>
      <c r="Y496" s="213" t="s">
        <v>4996</v>
      </c>
      <c r="Z496" s="213" t="s">
        <v>3125</v>
      </c>
      <c r="AA496" s="213">
        <v>15</v>
      </c>
      <c r="AB496" s="213">
        <v>130</v>
      </c>
      <c r="AC496" s="207" t="s">
        <v>3651</v>
      </c>
      <c r="AD496"/>
      <c r="AE496" s="206"/>
      <c r="AF496" s="94"/>
      <c r="AG496" s="94"/>
      <c r="AH496" s="94"/>
      <c r="AI496" s="94"/>
      <c r="AJ496" s="94"/>
      <c r="AK496" s="94"/>
      <c r="AL496" s="94"/>
      <c r="AM496" s="254"/>
      <c r="AN496" s="254"/>
      <c r="AO496" s="94"/>
      <c r="AP496" s="94"/>
      <c r="AQ496" s="94"/>
      <c r="AR496" s="94"/>
      <c r="AS496" s="207"/>
    </row>
    <row r="497" spans="13:45" ht="12.75">
      <c r="M497" s="104"/>
      <c r="O497" s="206" t="s">
        <v>2656</v>
      </c>
      <c r="P497" s="94" t="s">
        <v>2805</v>
      </c>
      <c r="Q497" s="180">
        <v>321391</v>
      </c>
      <c r="R497" s="258">
        <v>2500</v>
      </c>
      <c r="S497" s="259" t="s">
        <v>5004</v>
      </c>
      <c r="T497" s="213" t="s">
        <v>5000</v>
      </c>
      <c r="U497" s="213">
        <v>4</v>
      </c>
      <c r="V497" s="213" t="s">
        <v>3443</v>
      </c>
      <c r="W497" s="213" t="s">
        <v>3572</v>
      </c>
      <c r="X497" s="213" t="s">
        <v>3445</v>
      </c>
      <c r="Y497" s="213" t="s">
        <v>4999</v>
      </c>
      <c r="Z497" s="213" t="s">
        <v>3125</v>
      </c>
      <c r="AA497" s="213">
        <v>15</v>
      </c>
      <c r="AB497" s="213">
        <v>130</v>
      </c>
      <c r="AC497" s="207" t="s">
        <v>3651</v>
      </c>
      <c r="AD497"/>
      <c r="AE497" s="206"/>
      <c r="AF497" s="94"/>
      <c r="AG497" s="94"/>
      <c r="AH497" s="94"/>
      <c r="AI497" s="94"/>
      <c r="AJ497" s="94"/>
      <c r="AK497" s="94"/>
      <c r="AL497" s="94"/>
      <c r="AM497" s="254"/>
      <c r="AN497" s="254"/>
      <c r="AO497" s="94"/>
      <c r="AP497" s="94"/>
      <c r="AQ497" s="94"/>
      <c r="AR497" s="94"/>
      <c r="AS497" s="207"/>
    </row>
    <row r="498" spans="13:45" ht="12.75">
      <c r="M498" s="104"/>
      <c r="O498" s="206" t="s">
        <v>2657</v>
      </c>
      <c r="P498" s="94" t="s">
        <v>2806</v>
      </c>
      <c r="Q498" s="180">
        <v>314174</v>
      </c>
      <c r="R498" s="258">
        <v>2500</v>
      </c>
      <c r="S498" s="259" t="s">
        <v>5004</v>
      </c>
      <c r="T498" s="213" t="s">
        <v>5000</v>
      </c>
      <c r="U498" s="213">
        <v>4</v>
      </c>
      <c r="V498" s="213" t="s">
        <v>3443</v>
      </c>
      <c r="W498" s="213" t="s">
        <v>3572</v>
      </c>
      <c r="X498" s="213" t="s">
        <v>3445</v>
      </c>
      <c r="Y498" s="213" t="s">
        <v>4996</v>
      </c>
      <c r="Z498" s="213" t="s">
        <v>3125</v>
      </c>
      <c r="AA498" s="213">
        <v>15</v>
      </c>
      <c r="AB498" s="213">
        <v>130</v>
      </c>
      <c r="AC498" s="207" t="s">
        <v>3651</v>
      </c>
      <c r="AD498"/>
      <c r="AE498" s="206"/>
      <c r="AF498" s="94"/>
      <c r="AG498" s="94"/>
      <c r="AH498" s="94"/>
      <c r="AI498" s="94"/>
      <c r="AJ498" s="94"/>
      <c r="AK498" s="94"/>
      <c r="AL498" s="94"/>
      <c r="AM498" s="254"/>
      <c r="AN498" s="254"/>
      <c r="AO498" s="94"/>
      <c r="AP498" s="94"/>
      <c r="AQ498" s="94"/>
      <c r="AR498" s="94"/>
      <c r="AS498" s="207"/>
    </row>
    <row r="499" spans="13:45" ht="12.75">
      <c r="M499" s="104"/>
      <c r="O499" s="206" t="s">
        <v>2658</v>
      </c>
      <c r="P499" s="94" t="s">
        <v>4726</v>
      </c>
      <c r="Q499" s="180">
        <v>282558</v>
      </c>
      <c r="R499" s="258">
        <v>3200</v>
      </c>
      <c r="S499" s="259">
        <v>65</v>
      </c>
      <c r="T499" s="213" t="s">
        <v>5000</v>
      </c>
      <c r="U499" s="213">
        <v>4</v>
      </c>
      <c r="V499" s="213" t="s">
        <v>3443</v>
      </c>
      <c r="W499" s="213" t="s">
        <v>3572</v>
      </c>
      <c r="X499" s="213" t="s">
        <v>3441</v>
      </c>
      <c r="Y499" s="213" t="s">
        <v>4995</v>
      </c>
      <c r="Z499" s="213" t="s">
        <v>3356</v>
      </c>
      <c r="AA499" s="213">
        <v>65</v>
      </c>
      <c r="AB499" s="213">
        <v>65</v>
      </c>
      <c r="AC499" s="207" t="s">
        <v>4530</v>
      </c>
      <c r="AD499"/>
      <c r="AE499" s="206"/>
      <c r="AF499" s="94"/>
      <c r="AG499" s="94"/>
      <c r="AH499" s="94"/>
      <c r="AI499" s="94"/>
      <c r="AJ499" s="94"/>
      <c r="AK499" s="94"/>
      <c r="AL499" s="94"/>
      <c r="AM499" s="254"/>
      <c r="AN499" s="254"/>
      <c r="AO499" s="94"/>
      <c r="AP499" s="94"/>
      <c r="AQ499" s="94"/>
      <c r="AR499" s="94"/>
      <c r="AS499" s="207"/>
    </row>
    <row r="500" spans="13:45" ht="12.75">
      <c r="M500" s="104"/>
      <c r="O500" s="206" t="s">
        <v>2659</v>
      </c>
      <c r="P500" s="94" t="s">
        <v>4727</v>
      </c>
      <c r="Q500" s="180">
        <v>295405</v>
      </c>
      <c r="R500" s="258">
        <v>3200</v>
      </c>
      <c r="S500" s="259">
        <v>65</v>
      </c>
      <c r="T500" s="213" t="s">
        <v>5000</v>
      </c>
      <c r="U500" s="213">
        <v>4</v>
      </c>
      <c r="V500" s="213" t="s">
        <v>3443</v>
      </c>
      <c r="W500" s="213" t="s">
        <v>3572</v>
      </c>
      <c r="X500" s="213" t="s">
        <v>3441</v>
      </c>
      <c r="Y500" s="213" t="s">
        <v>4999</v>
      </c>
      <c r="Z500" s="213" t="s">
        <v>3356</v>
      </c>
      <c r="AA500" s="213">
        <v>65</v>
      </c>
      <c r="AB500" s="213">
        <v>65</v>
      </c>
      <c r="AC500" s="207" t="s">
        <v>4530</v>
      </c>
      <c r="AD500"/>
      <c r="AE500" s="206"/>
      <c r="AF500" s="94"/>
      <c r="AG500" s="94"/>
      <c r="AH500" s="94"/>
      <c r="AI500" s="94"/>
      <c r="AJ500" s="94"/>
      <c r="AK500" s="94"/>
      <c r="AL500" s="94"/>
      <c r="AM500" s="254"/>
      <c r="AN500" s="254"/>
      <c r="AO500" s="94"/>
      <c r="AP500" s="94"/>
      <c r="AQ500" s="94"/>
      <c r="AR500" s="94"/>
      <c r="AS500" s="207"/>
    </row>
    <row r="501" spans="13:45" ht="12.75">
      <c r="M501" s="104"/>
      <c r="O501" s="206" t="s">
        <v>2660</v>
      </c>
      <c r="P501" s="94" t="s">
        <v>4728</v>
      </c>
      <c r="Q501" s="180">
        <v>288188</v>
      </c>
      <c r="R501" s="258">
        <v>3200</v>
      </c>
      <c r="S501" s="259">
        <v>65</v>
      </c>
      <c r="T501" s="213" t="s">
        <v>5000</v>
      </c>
      <c r="U501" s="213">
        <v>4</v>
      </c>
      <c r="V501" s="213" t="s">
        <v>3443</v>
      </c>
      <c r="W501" s="213" t="s">
        <v>3572</v>
      </c>
      <c r="X501" s="213" t="s">
        <v>3441</v>
      </c>
      <c r="Y501" s="213" t="s">
        <v>4996</v>
      </c>
      <c r="Z501" s="213" t="s">
        <v>3356</v>
      </c>
      <c r="AA501" s="213">
        <v>65</v>
      </c>
      <c r="AB501" s="213">
        <v>65</v>
      </c>
      <c r="AC501" s="207" t="s">
        <v>4530</v>
      </c>
      <c r="AD501"/>
      <c r="AE501" s="206"/>
      <c r="AF501" s="94"/>
      <c r="AG501" s="94"/>
      <c r="AH501" s="94"/>
      <c r="AI501" s="94"/>
      <c r="AJ501" s="94"/>
      <c r="AK501" s="94"/>
      <c r="AL501" s="94"/>
      <c r="AM501" s="254"/>
      <c r="AN501" s="254"/>
      <c r="AO501" s="94"/>
      <c r="AP501" s="94"/>
      <c r="AQ501" s="94"/>
      <c r="AR501" s="94"/>
      <c r="AS501" s="207"/>
    </row>
    <row r="502" spans="13:45" ht="12.75">
      <c r="M502" s="104"/>
      <c r="O502" s="206" t="s">
        <v>2661</v>
      </c>
      <c r="P502" s="94" t="s">
        <v>4729</v>
      </c>
      <c r="Q502" s="180">
        <v>319616</v>
      </c>
      <c r="R502" s="258">
        <v>3200</v>
      </c>
      <c r="S502" s="259">
        <v>65</v>
      </c>
      <c r="T502" s="213" t="s">
        <v>5000</v>
      </c>
      <c r="U502" s="213">
        <v>4</v>
      </c>
      <c r="V502" s="213" t="s">
        <v>3443</v>
      </c>
      <c r="W502" s="213" t="s">
        <v>3572</v>
      </c>
      <c r="X502" s="213" t="s">
        <v>3445</v>
      </c>
      <c r="Y502" s="213" t="s">
        <v>4999</v>
      </c>
      <c r="Z502" s="213" t="s">
        <v>3356</v>
      </c>
      <c r="AA502" s="213">
        <v>65</v>
      </c>
      <c r="AB502" s="213">
        <v>65</v>
      </c>
      <c r="AC502" s="207" t="s">
        <v>4530</v>
      </c>
      <c r="AD502"/>
      <c r="AE502" s="206"/>
      <c r="AF502" s="94"/>
      <c r="AG502" s="94"/>
      <c r="AH502" s="94"/>
      <c r="AI502" s="94"/>
      <c r="AJ502" s="94"/>
      <c r="AK502" s="94"/>
      <c r="AL502" s="94"/>
      <c r="AM502" s="254"/>
      <c r="AN502" s="254"/>
      <c r="AO502" s="94"/>
      <c r="AP502" s="94"/>
      <c r="AQ502" s="94"/>
      <c r="AR502" s="94"/>
      <c r="AS502" s="207"/>
    </row>
    <row r="503" spans="13:45" ht="12.75">
      <c r="M503" s="104"/>
      <c r="O503" s="206" t="s">
        <v>2662</v>
      </c>
      <c r="P503" s="94" t="s">
        <v>4730</v>
      </c>
      <c r="Q503" s="180">
        <v>312399</v>
      </c>
      <c r="R503" s="258">
        <v>3200</v>
      </c>
      <c r="S503" s="259">
        <v>65</v>
      </c>
      <c r="T503" s="213" t="s">
        <v>5000</v>
      </c>
      <c r="U503" s="213">
        <v>4</v>
      </c>
      <c r="V503" s="213" t="s">
        <v>3443</v>
      </c>
      <c r="W503" s="213" t="s">
        <v>3572</v>
      </c>
      <c r="X503" s="213" t="s">
        <v>3445</v>
      </c>
      <c r="Y503" s="213" t="s">
        <v>4996</v>
      </c>
      <c r="Z503" s="213" t="s">
        <v>3356</v>
      </c>
      <c r="AA503" s="213">
        <v>65</v>
      </c>
      <c r="AB503" s="213">
        <v>65</v>
      </c>
      <c r="AC503" s="207" t="s">
        <v>4530</v>
      </c>
      <c r="AD503"/>
      <c r="AE503" s="206"/>
      <c r="AF503" s="94"/>
      <c r="AG503" s="94"/>
      <c r="AH503" s="94"/>
      <c r="AI503" s="94"/>
      <c r="AJ503" s="94"/>
      <c r="AK503" s="94"/>
      <c r="AL503" s="94"/>
      <c r="AM503" s="254"/>
      <c r="AN503" s="254"/>
      <c r="AO503" s="94"/>
      <c r="AP503" s="94"/>
      <c r="AQ503" s="94"/>
      <c r="AR503" s="94"/>
      <c r="AS503" s="207"/>
    </row>
    <row r="504" spans="13:45" ht="12.75">
      <c r="M504" s="104"/>
      <c r="O504" s="206" t="s">
        <v>2663</v>
      </c>
      <c r="P504" s="94" t="s">
        <v>4731</v>
      </c>
      <c r="Q504" s="180">
        <v>284460</v>
      </c>
      <c r="R504" s="258">
        <v>3200</v>
      </c>
      <c r="S504" s="259">
        <v>75</v>
      </c>
      <c r="T504" s="213" t="s">
        <v>5000</v>
      </c>
      <c r="U504" s="213">
        <v>4</v>
      </c>
      <c r="V504" s="213" t="s">
        <v>3443</v>
      </c>
      <c r="W504" s="213" t="s">
        <v>3572</v>
      </c>
      <c r="X504" s="213" t="s">
        <v>3441</v>
      </c>
      <c r="Y504" s="213" t="s">
        <v>4995</v>
      </c>
      <c r="Z504" s="213" t="s">
        <v>4549</v>
      </c>
      <c r="AA504" s="213">
        <v>75</v>
      </c>
      <c r="AB504" s="213">
        <v>75</v>
      </c>
      <c r="AC504" s="207" t="s">
        <v>4530</v>
      </c>
      <c r="AD504"/>
      <c r="AE504" s="206"/>
      <c r="AF504" s="94"/>
      <c r="AG504" s="94"/>
      <c r="AH504" s="94"/>
      <c r="AI504" s="94"/>
      <c r="AJ504" s="94"/>
      <c r="AK504" s="94"/>
      <c r="AL504" s="94"/>
      <c r="AM504" s="254"/>
      <c r="AN504" s="254"/>
      <c r="AO504" s="94"/>
      <c r="AP504" s="94"/>
      <c r="AQ504" s="94"/>
      <c r="AR504" s="94"/>
      <c r="AS504" s="207"/>
    </row>
    <row r="505" spans="13:45" ht="12.75">
      <c r="M505" s="104"/>
      <c r="O505" s="206" t="s">
        <v>2664</v>
      </c>
      <c r="P505" s="94" t="s">
        <v>4732</v>
      </c>
      <c r="Q505" s="180">
        <v>297309</v>
      </c>
      <c r="R505" s="258">
        <v>3200</v>
      </c>
      <c r="S505" s="259">
        <v>75</v>
      </c>
      <c r="T505" s="213" t="s">
        <v>5000</v>
      </c>
      <c r="U505" s="213">
        <v>4</v>
      </c>
      <c r="V505" s="213" t="s">
        <v>3443</v>
      </c>
      <c r="W505" s="213" t="s">
        <v>3572</v>
      </c>
      <c r="X505" s="213" t="s">
        <v>3441</v>
      </c>
      <c r="Y505" s="213" t="s">
        <v>4999</v>
      </c>
      <c r="Z505" s="213" t="s">
        <v>4549</v>
      </c>
      <c r="AA505" s="213">
        <v>75</v>
      </c>
      <c r="AB505" s="213">
        <v>75</v>
      </c>
      <c r="AC505" s="207" t="s">
        <v>4530</v>
      </c>
      <c r="AD505"/>
      <c r="AE505" s="206"/>
      <c r="AF505" s="94"/>
      <c r="AG505" s="94"/>
      <c r="AH505" s="94"/>
      <c r="AI505" s="94"/>
      <c r="AJ505" s="94"/>
      <c r="AK505" s="94"/>
      <c r="AL505" s="94"/>
      <c r="AM505" s="254"/>
      <c r="AN505" s="254"/>
      <c r="AO505" s="94"/>
      <c r="AP505" s="94"/>
      <c r="AQ505" s="94"/>
      <c r="AR505" s="94"/>
      <c r="AS505" s="207"/>
    </row>
    <row r="506" spans="13:45" ht="12.75">
      <c r="M506" s="104"/>
      <c r="O506" s="206" t="s">
        <v>2665</v>
      </c>
      <c r="P506" s="94" t="s">
        <v>3710</v>
      </c>
      <c r="Q506" s="180">
        <v>290091</v>
      </c>
      <c r="R506" s="258">
        <v>3200</v>
      </c>
      <c r="S506" s="259">
        <v>75</v>
      </c>
      <c r="T506" s="213" t="s">
        <v>5000</v>
      </c>
      <c r="U506" s="213">
        <v>4</v>
      </c>
      <c r="V506" s="213" t="s">
        <v>3443</v>
      </c>
      <c r="W506" s="213" t="s">
        <v>3572</v>
      </c>
      <c r="X506" s="213" t="s">
        <v>3441</v>
      </c>
      <c r="Y506" s="213" t="s">
        <v>4996</v>
      </c>
      <c r="Z506" s="213" t="s">
        <v>4549</v>
      </c>
      <c r="AA506" s="213">
        <v>75</v>
      </c>
      <c r="AB506" s="213">
        <v>75</v>
      </c>
      <c r="AC506" s="207" t="s">
        <v>4530</v>
      </c>
      <c r="AD506"/>
      <c r="AE506" s="206"/>
      <c r="AF506" s="94"/>
      <c r="AG506" s="94"/>
      <c r="AH506" s="94"/>
      <c r="AI506" s="94"/>
      <c r="AJ506" s="94"/>
      <c r="AK506" s="94"/>
      <c r="AL506" s="94"/>
      <c r="AM506" s="254"/>
      <c r="AN506" s="254"/>
      <c r="AO506" s="94"/>
      <c r="AP506" s="94"/>
      <c r="AQ506" s="94"/>
      <c r="AR506" s="94"/>
      <c r="AS506" s="207"/>
    </row>
    <row r="507" spans="13:45" ht="12.75">
      <c r="M507" s="104"/>
      <c r="O507" s="206" t="s">
        <v>2666</v>
      </c>
      <c r="P507" s="94" t="s">
        <v>3711</v>
      </c>
      <c r="Q507" s="180">
        <v>321517</v>
      </c>
      <c r="R507" s="258">
        <v>3200</v>
      </c>
      <c r="S507" s="259">
        <v>75</v>
      </c>
      <c r="T507" s="213" t="s">
        <v>5000</v>
      </c>
      <c r="U507" s="213">
        <v>4</v>
      </c>
      <c r="V507" s="213" t="s">
        <v>3443</v>
      </c>
      <c r="W507" s="213" t="s">
        <v>3572</v>
      </c>
      <c r="X507" s="213" t="s">
        <v>3445</v>
      </c>
      <c r="Y507" s="213" t="s">
        <v>4999</v>
      </c>
      <c r="Z507" s="213" t="s">
        <v>4549</v>
      </c>
      <c r="AA507" s="213">
        <v>75</v>
      </c>
      <c r="AB507" s="213">
        <v>75</v>
      </c>
      <c r="AC507" s="207" t="s">
        <v>4530</v>
      </c>
      <c r="AD507"/>
      <c r="AE507" s="206"/>
      <c r="AF507" s="94"/>
      <c r="AG507" s="94"/>
      <c r="AH507" s="94"/>
      <c r="AI507" s="94"/>
      <c r="AJ507" s="94"/>
      <c r="AK507" s="94"/>
      <c r="AL507" s="94"/>
      <c r="AM507" s="254"/>
      <c r="AN507" s="254"/>
      <c r="AO507" s="94"/>
      <c r="AP507" s="94"/>
      <c r="AQ507" s="94"/>
      <c r="AR507" s="94"/>
      <c r="AS507" s="207"/>
    </row>
    <row r="508" spans="13:45" ht="12.75">
      <c r="M508" s="104"/>
      <c r="O508" s="206" t="s">
        <v>2667</v>
      </c>
      <c r="P508" s="94" t="s">
        <v>3712</v>
      </c>
      <c r="Q508" s="180">
        <v>314299</v>
      </c>
      <c r="R508" s="258">
        <v>3200</v>
      </c>
      <c r="S508" s="259">
        <v>75</v>
      </c>
      <c r="T508" s="213" t="s">
        <v>5000</v>
      </c>
      <c r="U508" s="213">
        <v>4</v>
      </c>
      <c r="V508" s="213" t="s">
        <v>3443</v>
      </c>
      <c r="W508" s="213" t="s">
        <v>3572</v>
      </c>
      <c r="X508" s="213" t="s">
        <v>3445</v>
      </c>
      <c r="Y508" s="213" t="s">
        <v>4996</v>
      </c>
      <c r="Z508" s="213" t="s">
        <v>4549</v>
      </c>
      <c r="AA508" s="213">
        <v>75</v>
      </c>
      <c r="AB508" s="213">
        <v>75</v>
      </c>
      <c r="AC508" s="207" t="s">
        <v>4530</v>
      </c>
      <c r="AD508"/>
      <c r="AE508" s="206"/>
      <c r="AF508" s="94"/>
      <c r="AG508" s="94"/>
      <c r="AH508" s="94"/>
      <c r="AI508" s="94"/>
      <c r="AJ508" s="94"/>
      <c r="AK508" s="94"/>
      <c r="AL508" s="94"/>
      <c r="AM508" s="254"/>
      <c r="AN508" s="254"/>
      <c r="AO508" s="94"/>
      <c r="AP508" s="94"/>
      <c r="AQ508" s="94"/>
      <c r="AR508" s="94"/>
      <c r="AS508" s="207"/>
    </row>
    <row r="509" spans="13:45" ht="12.75">
      <c r="M509" s="104"/>
      <c r="O509" s="206" t="s">
        <v>2668</v>
      </c>
      <c r="P509" s="94" t="s">
        <v>2852</v>
      </c>
      <c r="Q509" s="180">
        <v>291199</v>
      </c>
      <c r="R509" s="258">
        <v>3200</v>
      </c>
      <c r="S509" s="259" t="s">
        <v>847</v>
      </c>
      <c r="T509" s="213" t="s">
        <v>5000</v>
      </c>
      <c r="U509" s="213">
        <v>4</v>
      </c>
      <c r="V509" s="213" t="s">
        <v>3443</v>
      </c>
      <c r="W509" s="213" t="s">
        <v>3572</v>
      </c>
      <c r="X509" s="213" t="s">
        <v>3441</v>
      </c>
      <c r="Y509" s="213" t="s">
        <v>4995</v>
      </c>
      <c r="Z509" s="213" t="s">
        <v>3470</v>
      </c>
      <c r="AA509" s="213">
        <v>75</v>
      </c>
      <c r="AB509" s="213">
        <v>85</v>
      </c>
      <c r="AC509" s="207" t="s">
        <v>4530</v>
      </c>
      <c r="AD509"/>
      <c r="AE509" s="206"/>
      <c r="AF509" s="94"/>
      <c r="AG509" s="94"/>
      <c r="AH509" s="94"/>
      <c r="AI509" s="94"/>
      <c r="AJ509" s="94"/>
      <c r="AK509" s="94"/>
      <c r="AL509" s="94"/>
      <c r="AM509" s="254"/>
      <c r="AN509" s="254"/>
      <c r="AO509" s="94"/>
      <c r="AP509" s="94"/>
      <c r="AQ509" s="94"/>
      <c r="AR509" s="94"/>
      <c r="AS509" s="207"/>
    </row>
    <row r="510" spans="13:45" ht="12.75">
      <c r="M510" s="104"/>
      <c r="O510" s="206" t="s">
        <v>2669</v>
      </c>
      <c r="P510" s="94" t="s">
        <v>2853</v>
      </c>
      <c r="Q510" s="180">
        <v>304048</v>
      </c>
      <c r="R510" s="258">
        <v>3200</v>
      </c>
      <c r="S510" s="259" t="s">
        <v>847</v>
      </c>
      <c r="T510" s="213" t="s">
        <v>5000</v>
      </c>
      <c r="U510" s="213">
        <v>4</v>
      </c>
      <c r="V510" s="213" t="s">
        <v>3443</v>
      </c>
      <c r="W510" s="213" t="s">
        <v>3572</v>
      </c>
      <c r="X510" s="213" t="s">
        <v>3441</v>
      </c>
      <c r="Y510" s="213" t="s">
        <v>4999</v>
      </c>
      <c r="Z510" s="213" t="s">
        <v>3470</v>
      </c>
      <c r="AA510" s="213">
        <v>75</v>
      </c>
      <c r="AB510" s="213">
        <v>85</v>
      </c>
      <c r="AC510" s="207" t="s">
        <v>4530</v>
      </c>
      <c r="AD510"/>
      <c r="AE510" s="206"/>
      <c r="AF510" s="94"/>
      <c r="AG510" s="94"/>
      <c r="AH510" s="94"/>
      <c r="AI510" s="94"/>
      <c r="AJ510" s="94"/>
      <c r="AK510" s="94"/>
      <c r="AL510" s="94"/>
      <c r="AM510" s="254"/>
      <c r="AN510" s="254"/>
      <c r="AO510" s="94"/>
      <c r="AP510" s="94"/>
      <c r="AQ510" s="94"/>
      <c r="AR510" s="94"/>
      <c r="AS510" s="207"/>
    </row>
    <row r="511" spans="13:45" ht="12.75">
      <c r="M511" s="104"/>
      <c r="O511" s="206" t="s">
        <v>2670</v>
      </c>
      <c r="P511" s="94" t="s">
        <v>2854</v>
      </c>
      <c r="Q511" s="180">
        <v>296829</v>
      </c>
      <c r="R511" s="258">
        <v>3200</v>
      </c>
      <c r="S511" s="259" t="s">
        <v>847</v>
      </c>
      <c r="T511" s="213" t="s">
        <v>5000</v>
      </c>
      <c r="U511" s="213">
        <v>4</v>
      </c>
      <c r="V511" s="213" t="s">
        <v>3443</v>
      </c>
      <c r="W511" s="213" t="s">
        <v>3572</v>
      </c>
      <c r="X511" s="213" t="s">
        <v>3441</v>
      </c>
      <c r="Y511" s="213" t="s">
        <v>4996</v>
      </c>
      <c r="Z511" s="213" t="s">
        <v>3470</v>
      </c>
      <c r="AA511" s="213">
        <v>75</v>
      </c>
      <c r="AB511" s="213">
        <v>85</v>
      </c>
      <c r="AC511" s="207" t="s">
        <v>4530</v>
      </c>
      <c r="AD511"/>
      <c r="AE511" s="206"/>
      <c r="AF511" s="94"/>
      <c r="AG511" s="94"/>
      <c r="AH511" s="94"/>
      <c r="AI511" s="94"/>
      <c r="AJ511" s="94"/>
      <c r="AK511" s="94"/>
      <c r="AL511" s="94"/>
      <c r="AM511" s="254"/>
      <c r="AN511" s="254"/>
      <c r="AO511" s="94"/>
      <c r="AP511" s="94"/>
      <c r="AQ511" s="94"/>
      <c r="AR511" s="94"/>
      <c r="AS511" s="207"/>
    </row>
    <row r="512" spans="13:45" ht="12.75">
      <c r="M512" s="104"/>
      <c r="O512" s="206" t="s">
        <v>2671</v>
      </c>
      <c r="P512" s="94" t="s">
        <v>3716</v>
      </c>
      <c r="Q512" s="180">
        <v>328256</v>
      </c>
      <c r="R512" s="258">
        <v>3200</v>
      </c>
      <c r="S512" s="259" t="s">
        <v>847</v>
      </c>
      <c r="T512" s="213" t="s">
        <v>5000</v>
      </c>
      <c r="U512" s="213">
        <v>4</v>
      </c>
      <c r="V512" s="213" t="s">
        <v>3443</v>
      </c>
      <c r="W512" s="213" t="s">
        <v>3572</v>
      </c>
      <c r="X512" s="213" t="s">
        <v>3445</v>
      </c>
      <c r="Y512" s="213" t="s">
        <v>4999</v>
      </c>
      <c r="Z512" s="213" t="s">
        <v>3470</v>
      </c>
      <c r="AA512" s="213">
        <v>75</v>
      </c>
      <c r="AB512" s="213">
        <v>85</v>
      </c>
      <c r="AC512" s="207" t="s">
        <v>4530</v>
      </c>
      <c r="AD512"/>
      <c r="AE512" s="206"/>
      <c r="AF512" s="94"/>
      <c r="AG512" s="94"/>
      <c r="AH512" s="94"/>
      <c r="AI512" s="94"/>
      <c r="AJ512" s="94"/>
      <c r="AK512" s="94"/>
      <c r="AL512" s="94"/>
      <c r="AM512" s="254"/>
      <c r="AN512" s="254"/>
      <c r="AO512" s="94"/>
      <c r="AP512" s="94"/>
      <c r="AQ512" s="94"/>
      <c r="AR512" s="94"/>
      <c r="AS512" s="207"/>
    </row>
    <row r="513" spans="13:45" ht="12.75">
      <c r="M513" s="104"/>
      <c r="O513" s="206" t="s">
        <v>2672</v>
      </c>
      <c r="P513" s="94" t="s">
        <v>3717</v>
      </c>
      <c r="Q513" s="180">
        <v>321038</v>
      </c>
      <c r="R513" s="258">
        <v>3200</v>
      </c>
      <c r="S513" s="259" t="s">
        <v>847</v>
      </c>
      <c r="T513" s="213" t="s">
        <v>5000</v>
      </c>
      <c r="U513" s="213">
        <v>4</v>
      </c>
      <c r="V513" s="213" t="s">
        <v>3443</v>
      </c>
      <c r="W513" s="213" t="s">
        <v>3572</v>
      </c>
      <c r="X513" s="213" t="s">
        <v>3445</v>
      </c>
      <c r="Y513" s="213" t="s">
        <v>4996</v>
      </c>
      <c r="Z513" s="213" t="s">
        <v>3470</v>
      </c>
      <c r="AA513" s="213">
        <v>75</v>
      </c>
      <c r="AB513" s="213">
        <v>85</v>
      </c>
      <c r="AC513" s="207" t="s">
        <v>4530</v>
      </c>
      <c r="AD513"/>
      <c r="AE513" s="206"/>
      <c r="AF513" s="94"/>
      <c r="AG513" s="94"/>
      <c r="AH513" s="94"/>
      <c r="AI513" s="94"/>
      <c r="AJ513" s="94"/>
      <c r="AK513" s="94"/>
      <c r="AL513" s="94"/>
      <c r="AM513" s="254"/>
      <c r="AN513" s="254"/>
      <c r="AO513" s="94"/>
      <c r="AP513" s="94"/>
      <c r="AQ513" s="94"/>
      <c r="AR513" s="94"/>
      <c r="AS513" s="207"/>
    </row>
    <row r="514" spans="13:45" ht="12.75">
      <c r="M514" s="104"/>
      <c r="O514" s="206" t="s">
        <v>2674</v>
      </c>
      <c r="P514" s="94" t="s">
        <v>3720</v>
      </c>
      <c r="Q514" s="180">
        <v>252728</v>
      </c>
      <c r="R514" s="258">
        <v>3200</v>
      </c>
      <c r="S514" s="259" t="s">
        <v>848</v>
      </c>
      <c r="T514" s="213" t="s">
        <v>5010</v>
      </c>
      <c r="U514" s="213">
        <v>3</v>
      </c>
      <c r="V514" s="213" t="s">
        <v>3439</v>
      </c>
      <c r="W514" s="213" t="s">
        <v>3361</v>
      </c>
      <c r="X514" s="213" t="s">
        <v>3441</v>
      </c>
      <c r="Y514" s="213" t="s">
        <v>4995</v>
      </c>
      <c r="Z514" s="213" t="s">
        <v>3719</v>
      </c>
      <c r="AA514" s="213">
        <v>100</v>
      </c>
      <c r="AB514" s="213">
        <v>100</v>
      </c>
      <c r="AC514" s="207" t="s">
        <v>4530</v>
      </c>
      <c r="AD514"/>
      <c r="AE514" s="206"/>
      <c r="AF514" s="94"/>
      <c r="AG514" s="94"/>
      <c r="AH514" s="94"/>
      <c r="AI514" s="94"/>
      <c r="AJ514" s="94"/>
      <c r="AK514" s="94"/>
      <c r="AL514" s="94"/>
      <c r="AM514" s="254"/>
      <c r="AN514" s="254"/>
      <c r="AO514" s="94"/>
      <c r="AP514" s="94"/>
      <c r="AQ514" s="94"/>
      <c r="AR514" s="94"/>
      <c r="AS514" s="207"/>
    </row>
    <row r="515" spans="13:45" ht="12.75">
      <c r="M515" s="104"/>
      <c r="O515" s="206" t="s">
        <v>2677</v>
      </c>
      <c r="P515" s="94" t="s">
        <v>2859</v>
      </c>
      <c r="Q515" s="180">
        <v>265576</v>
      </c>
      <c r="R515" s="258">
        <v>3200</v>
      </c>
      <c r="S515" s="259" t="s">
        <v>848</v>
      </c>
      <c r="T515" s="213" t="s">
        <v>5010</v>
      </c>
      <c r="U515" s="213">
        <v>3</v>
      </c>
      <c r="V515" s="213" t="s">
        <v>3439</v>
      </c>
      <c r="W515" s="213" t="s">
        <v>3361</v>
      </c>
      <c r="X515" s="213" t="s">
        <v>3441</v>
      </c>
      <c r="Y515" s="213" t="s">
        <v>4999</v>
      </c>
      <c r="Z515" s="213" t="s">
        <v>3719</v>
      </c>
      <c r="AA515" s="213">
        <v>100</v>
      </c>
      <c r="AB515" s="213">
        <v>100</v>
      </c>
      <c r="AC515" s="207" t="s">
        <v>4530</v>
      </c>
      <c r="AD515"/>
      <c r="AE515" s="206"/>
      <c r="AF515" s="94"/>
      <c r="AG515" s="94"/>
      <c r="AH515" s="94"/>
      <c r="AI515" s="94"/>
      <c r="AJ515" s="94"/>
      <c r="AK515" s="94"/>
      <c r="AL515" s="94"/>
      <c r="AM515" s="254"/>
      <c r="AN515" s="254"/>
      <c r="AO515" s="94"/>
      <c r="AP515" s="94"/>
      <c r="AQ515" s="94"/>
      <c r="AR515" s="94"/>
      <c r="AS515" s="207"/>
    </row>
    <row r="516" spans="13:45" ht="12.75">
      <c r="M516" s="104"/>
      <c r="O516" s="206" t="s">
        <v>2680</v>
      </c>
      <c r="P516" s="94" t="s">
        <v>2862</v>
      </c>
      <c r="Q516" s="180">
        <v>258358</v>
      </c>
      <c r="R516" s="258">
        <v>3200</v>
      </c>
      <c r="S516" s="259" t="s">
        <v>848</v>
      </c>
      <c r="T516" s="213" t="s">
        <v>5010</v>
      </c>
      <c r="U516" s="213">
        <v>3</v>
      </c>
      <c r="V516" s="213" t="s">
        <v>3439</v>
      </c>
      <c r="W516" s="213" t="s">
        <v>3361</v>
      </c>
      <c r="X516" s="213" t="s">
        <v>3441</v>
      </c>
      <c r="Y516" s="213" t="s">
        <v>4996</v>
      </c>
      <c r="Z516" s="213" t="s">
        <v>3719</v>
      </c>
      <c r="AA516" s="213">
        <v>100</v>
      </c>
      <c r="AB516" s="213">
        <v>100</v>
      </c>
      <c r="AC516" s="207" t="s">
        <v>4530</v>
      </c>
      <c r="AD516"/>
      <c r="AE516" s="206"/>
      <c r="AF516" s="94"/>
      <c r="AG516" s="94"/>
      <c r="AH516" s="94"/>
      <c r="AI516" s="94"/>
      <c r="AJ516" s="94"/>
      <c r="AK516" s="94"/>
      <c r="AL516" s="94"/>
      <c r="AM516" s="254"/>
      <c r="AN516" s="254"/>
      <c r="AO516" s="94"/>
      <c r="AP516" s="94"/>
      <c r="AQ516" s="94"/>
      <c r="AR516" s="94"/>
      <c r="AS516" s="207"/>
    </row>
    <row r="517" spans="13:45" ht="12.75">
      <c r="M517" s="104"/>
      <c r="O517" s="206" t="s">
        <v>4633</v>
      </c>
      <c r="P517" s="94" t="s">
        <v>2865</v>
      </c>
      <c r="Q517" s="180">
        <v>289784</v>
      </c>
      <c r="R517" s="258">
        <v>3200</v>
      </c>
      <c r="S517" s="259" t="s">
        <v>848</v>
      </c>
      <c r="T517" s="213" t="s">
        <v>5010</v>
      </c>
      <c r="U517" s="213">
        <v>3</v>
      </c>
      <c r="V517" s="213" t="s">
        <v>3439</v>
      </c>
      <c r="W517" s="213" t="s">
        <v>3361</v>
      </c>
      <c r="X517" s="213" t="s">
        <v>3445</v>
      </c>
      <c r="Y517" s="213" t="s">
        <v>4999</v>
      </c>
      <c r="Z517" s="213" t="s">
        <v>3719</v>
      </c>
      <c r="AA517" s="213">
        <v>100</v>
      </c>
      <c r="AB517" s="213">
        <v>100</v>
      </c>
      <c r="AC517" s="207" t="s">
        <v>4530</v>
      </c>
      <c r="AD517"/>
      <c r="AE517" s="206"/>
      <c r="AF517" s="94"/>
      <c r="AG517" s="94"/>
      <c r="AH517" s="94"/>
      <c r="AI517" s="94"/>
      <c r="AJ517" s="94"/>
      <c r="AK517" s="94"/>
      <c r="AL517" s="94"/>
      <c r="AM517" s="254"/>
      <c r="AN517" s="254"/>
      <c r="AO517" s="94"/>
      <c r="AP517" s="94"/>
      <c r="AQ517" s="94"/>
      <c r="AR517" s="94"/>
      <c r="AS517" s="207"/>
    </row>
    <row r="518" spans="13:45" ht="12.75">
      <c r="M518" s="104"/>
      <c r="O518" s="206" t="s">
        <v>4636</v>
      </c>
      <c r="P518" s="94" t="s">
        <v>2868</v>
      </c>
      <c r="Q518" s="180">
        <v>282567</v>
      </c>
      <c r="R518" s="258">
        <v>3200</v>
      </c>
      <c r="S518" s="259" t="s">
        <v>848</v>
      </c>
      <c r="T518" s="213" t="s">
        <v>5010</v>
      </c>
      <c r="U518" s="213">
        <v>3</v>
      </c>
      <c r="V518" s="213" t="s">
        <v>3439</v>
      </c>
      <c r="W518" s="213" t="s">
        <v>3361</v>
      </c>
      <c r="X518" s="213" t="s">
        <v>3445</v>
      </c>
      <c r="Y518" s="213" t="s">
        <v>4996</v>
      </c>
      <c r="Z518" s="213" t="s">
        <v>3719</v>
      </c>
      <c r="AA518" s="213">
        <v>100</v>
      </c>
      <c r="AB518" s="213">
        <v>100</v>
      </c>
      <c r="AC518" s="207" t="s">
        <v>4530</v>
      </c>
      <c r="AD518"/>
      <c r="AE518" s="206"/>
      <c r="AF518" s="94"/>
      <c r="AG518" s="94"/>
      <c r="AH518" s="94"/>
      <c r="AI518" s="94"/>
      <c r="AJ518" s="94"/>
      <c r="AK518" s="94"/>
      <c r="AL518" s="94"/>
      <c r="AM518" s="254"/>
      <c r="AN518" s="254"/>
      <c r="AO518" s="94"/>
      <c r="AP518" s="94"/>
      <c r="AQ518" s="94"/>
      <c r="AR518" s="94"/>
      <c r="AS518" s="207"/>
    </row>
    <row r="519" spans="13:45" ht="12.75">
      <c r="M519" s="104"/>
      <c r="O519" s="206" t="s">
        <v>4639</v>
      </c>
      <c r="P519" s="94" t="s">
        <v>2872</v>
      </c>
      <c r="Q519" s="180">
        <v>258382</v>
      </c>
      <c r="R519" s="258">
        <v>4000</v>
      </c>
      <c r="S519" s="259">
        <v>75</v>
      </c>
      <c r="T519" s="213" t="s">
        <v>5010</v>
      </c>
      <c r="U519" s="213">
        <v>3</v>
      </c>
      <c r="V519" s="213" t="s">
        <v>3439</v>
      </c>
      <c r="W519" s="213" t="s">
        <v>3361</v>
      </c>
      <c r="X519" s="213" t="s">
        <v>3441</v>
      </c>
      <c r="Y519" s="213" t="s">
        <v>4995</v>
      </c>
      <c r="Z519" s="213" t="s">
        <v>2871</v>
      </c>
      <c r="AA519" s="213">
        <v>75</v>
      </c>
      <c r="AB519" s="213">
        <v>75</v>
      </c>
      <c r="AC519" s="207" t="s">
        <v>4530</v>
      </c>
      <c r="AD519"/>
      <c r="AE519" s="206"/>
      <c r="AF519" s="94"/>
      <c r="AG519" s="94"/>
      <c r="AH519" s="94"/>
      <c r="AI519" s="94"/>
      <c r="AJ519" s="94"/>
      <c r="AK519" s="94"/>
      <c r="AL519" s="94"/>
      <c r="AM519" s="254"/>
      <c r="AN519" s="254"/>
      <c r="AO519" s="94"/>
      <c r="AP519" s="94"/>
      <c r="AQ519" s="94"/>
      <c r="AR519" s="94"/>
      <c r="AS519" s="207"/>
    </row>
    <row r="520" spans="13:45" ht="12.75">
      <c r="M520" s="104"/>
      <c r="O520" s="206" t="s">
        <v>4324</v>
      </c>
      <c r="P520" s="94" t="s">
        <v>2875</v>
      </c>
      <c r="Q520" s="180">
        <v>271231</v>
      </c>
      <c r="R520" s="258">
        <v>4000</v>
      </c>
      <c r="S520" s="259">
        <v>75</v>
      </c>
      <c r="T520" s="213" t="s">
        <v>5010</v>
      </c>
      <c r="U520" s="213">
        <v>3</v>
      </c>
      <c r="V520" s="213" t="s">
        <v>3439</v>
      </c>
      <c r="W520" s="213" t="s">
        <v>3361</v>
      </c>
      <c r="X520" s="213" t="s">
        <v>3441</v>
      </c>
      <c r="Y520" s="213" t="s">
        <v>4999</v>
      </c>
      <c r="Z520" s="213" t="s">
        <v>2871</v>
      </c>
      <c r="AA520" s="213">
        <v>75</v>
      </c>
      <c r="AB520" s="213">
        <v>75</v>
      </c>
      <c r="AC520" s="207" t="s">
        <v>4530</v>
      </c>
      <c r="AD520"/>
      <c r="AE520" s="206"/>
      <c r="AF520" s="94"/>
      <c r="AG520" s="94"/>
      <c r="AH520" s="94"/>
      <c r="AI520" s="94"/>
      <c r="AJ520" s="94"/>
      <c r="AK520" s="94"/>
      <c r="AL520" s="94"/>
      <c r="AM520" s="254"/>
      <c r="AN520" s="254"/>
      <c r="AO520" s="94"/>
      <c r="AP520" s="94"/>
      <c r="AQ520" s="94"/>
      <c r="AR520" s="94"/>
      <c r="AS520" s="207"/>
    </row>
    <row r="521" spans="13:45" ht="12.75">
      <c r="M521" s="104"/>
      <c r="O521" s="206" t="s">
        <v>4327</v>
      </c>
      <c r="P521" s="94" t="s">
        <v>2878</v>
      </c>
      <c r="Q521" s="180">
        <v>264013</v>
      </c>
      <c r="R521" s="258">
        <v>4000</v>
      </c>
      <c r="S521" s="259">
        <v>75</v>
      </c>
      <c r="T521" s="213" t="s">
        <v>5010</v>
      </c>
      <c r="U521" s="213">
        <v>3</v>
      </c>
      <c r="V521" s="213" t="s">
        <v>3439</v>
      </c>
      <c r="W521" s="213" t="s">
        <v>3361</v>
      </c>
      <c r="X521" s="213" t="s">
        <v>3441</v>
      </c>
      <c r="Y521" s="213" t="s">
        <v>4996</v>
      </c>
      <c r="Z521" s="213" t="s">
        <v>2871</v>
      </c>
      <c r="AA521" s="213">
        <v>75</v>
      </c>
      <c r="AB521" s="213">
        <v>75</v>
      </c>
      <c r="AC521" s="207" t="s">
        <v>4530</v>
      </c>
      <c r="AD521"/>
      <c r="AE521" s="206"/>
      <c r="AF521" s="94"/>
      <c r="AG521" s="94"/>
      <c r="AH521" s="94"/>
      <c r="AI521" s="94"/>
      <c r="AJ521" s="94"/>
      <c r="AK521" s="94"/>
      <c r="AL521" s="94"/>
      <c r="AM521" s="254"/>
      <c r="AN521" s="254"/>
      <c r="AO521" s="94"/>
      <c r="AP521" s="94"/>
      <c r="AQ521" s="94"/>
      <c r="AR521" s="94"/>
      <c r="AS521" s="207"/>
    </row>
    <row r="522" spans="13:45" ht="12.75">
      <c r="M522" s="104"/>
      <c r="O522" s="206" t="s">
        <v>4330</v>
      </c>
      <c r="P522" s="94" t="s">
        <v>2881</v>
      </c>
      <c r="Q522" s="180">
        <v>295439</v>
      </c>
      <c r="R522" s="258">
        <v>4000</v>
      </c>
      <c r="S522" s="259">
        <v>75</v>
      </c>
      <c r="T522" s="213" t="s">
        <v>5010</v>
      </c>
      <c r="U522" s="213">
        <v>3</v>
      </c>
      <c r="V522" s="213" t="s">
        <v>3439</v>
      </c>
      <c r="W522" s="213" t="s">
        <v>3361</v>
      </c>
      <c r="X522" s="213" t="s">
        <v>3445</v>
      </c>
      <c r="Y522" s="213" t="s">
        <v>4999</v>
      </c>
      <c r="Z522" s="213" t="s">
        <v>2871</v>
      </c>
      <c r="AA522" s="213">
        <v>75</v>
      </c>
      <c r="AB522" s="213">
        <v>75</v>
      </c>
      <c r="AC522" s="207" t="s">
        <v>4530</v>
      </c>
      <c r="AD522"/>
      <c r="AE522" s="206"/>
      <c r="AF522" s="94"/>
      <c r="AG522" s="94"/>
      <c r="AH522" s="94"/>
      <c r="AI522" s="94"/>
      <c r="AJ522" s="94"/>
      <c r="AK522" s="94"/>
      <c r="AL522" s="94"/>
      <c r="AM522" s="254"/>
      <c r="AN522" s="254"/>
      <c r="AO522" s="94"/>
      <c r="AP522" s="94"/>
      <c r="AQ522" s="94"/>
      <c r="AR522" s="94"/>
      <c r="AS522" s="207"/>
    </row>
    <row r="523" spans="13:45" ht="12.75">
      <c r="M523" s="104"/>
      <c r="O523" s="206" t="s">
        <v>4333</v>
      </c>
      <c r="P523" s="94" t="s">
        <v>2884</v>
      </c>
      <c r="Q523" s="180">
        <v>288221</v>
      </c>
      <c r="R523" s="258">
        <v>4000</v>
      </c>
      <c r="S523" s="259">
        <v>75</v>
      </c>
      <c r="T523" s="213" t="s">
        <v>5010</v>
      </c>
      <c r="U523" s="213">
        <v>3</v>
      </c>
      <c r="V523" s="213" t="s">
        <v>3439</v>
      </c>
      <c r="W523" s="213" t="s">
        <v>3361</v>
      </c>
      <c r="X523" s="213" t="s">
        <v>3445</v>
      </c>
      <c r="Y523" s="213" t="s">
        <v>4996</v>
      </c>
      <c r="Z523" s="213" t="s">
        <v>2871</v>
      </c>
      <c r="AA523" s="213">
        <v>75</v>
      </c>
      <c r="AB523" s="213">
        <v>75</v>
      </c>
      <c r="AC523" s="207" t="s">
        <v>4530</v>
      </c>
      <c r="AD523"/>
      <c r="AE523" s="206"/>
      <c r="AF523" s="94"/>
      <c r="AG523" s="94"/>
      <c r="AH523" s="94"/>
      <c r="AI523" s="94"/>
      <c r="AJ523" s="94"/>
      <c r="AK523" s="94"/>
      <c r="AL523" s="94"/>
      <c r="AM523" s="254"/>
      <c r="AN523" s="254"/>
      <c r="AO523" s="94"/>
      <c r="AP523" s="94"/>
      <c r="AQ523" s="94"/>
      <c r="AR523" s="94"/>
      <c r="AS523" s="207"/>
    </row>
    <row r="524" spans="13:45" ht="12.75">
      <c r="M524" s="104"/>
      <c r="O524" s="206" t="s">
        <v>4336</v>
      </c>
      <c r="P524" s="94" t="s">
        <v>2887</v>
      </c>
      <c r="Q524" s="180">
        <v>297577</v>
      </c>
      <c r="R524" s="258">
        <v>4000</v>
      </c>
      <c r="S524" s="259">
        <v>100</v>
      </c>
      <c r="T524" s="213" t="s">
        <v>5010</v>
      </c>
      <c r="U524" s="213">
        <v>3</v>
      </c>
      <c r="V524" s="213" t="s">
        <v>3439</v>
      </c>
      <c r="W524" s="213" t="s">
        <v>3361</v>
      </c>
      <c r="X524" s="213" t="s">
        <v>3441</v>
      </c>
      <c r="Y524" s="213" t="s">
        <v>4995</v>
      </c>
      <c r="Z524" s="213" t="s">
        <v>3719</v>
      </c>
      <c r="AA524" s="213">
        <v>100</v>
      </c>
      <c r="AB524" s="213">
        <v>100</v>
      </c>
      <c r="AC524" s="207" t="s">
        <v>4530</v>
      </c>
      <c r="AD524"/>
      <c r="AE524" s="206"/>
      <c r="AF524" s="94"/>
      <c r="AG524" s="94"/>
      <c r="AH524" s="94"/>
      <c r="AI524" s="94"/>
      <c r="AJ524" s="94"/>
      <c r="AK524" s="94"/>
      <c r="AL524" s="94"/>
      <c r="AM524" s="254"/>
      <c r="AN524" s="254"/>
      <c r="AO524" s="94"/>
      <c r="AP524" s="94"/>
      <c r="AQ524" s="94"/>
      <c r="AR524" s="94"/>
      <c r="AS524" s="207"/>
    </row>
    <row r="525" spans="13:45" ht="12.75">
      <c r="M525" s="104"/>
      <c r="O525" s="206" t="s">
        <v>4339</v>
      </c>
      <c r="P525" s="94" t="s">
        <v>2890</v>
      </c>
      <c r="Q525" s="180">
        <v>310424</v>
      </c>
      <c r="R525" s="258">
        <v>4000</v>
      </c>
      <c r="S525" s="259">
        <v>100</v>
      </c>
      <c r="T525" s="213" t="s">
        <v>5010</v>
      </c>
      <c r="U525" s="213">
        <v>3</v>
      </c>
      <c r="V525" s="213" t="s">
        <v>3439</v>
      </c>
      <c r="W525" s="213" t="s">
        <v>3361</v>
      </c>
      <c r="X525" s="213" t="s">
        <v>3441</v>
      </c>
      <c r="Y525" s="213" t="s">
        <v>4999</v>
      </c>
      <c r="Z525" s="213" t="s">
        <v>3719</v>
      </c>
      <c r="AA525" s="213">
        <v>100</v>
      </c>
      <c r="AB525" s="213">
        <v>100</v>
      </c>
      <c r="AC525" s="207" t="s">
        <v>4530</v>
      </c>
      <c r="AD525"/>
      <c r="AE525" s="206"/>
      <c r="AF525" s="94"/>
      <c r="AG525" s="94"/>
      <c r="AH525" s="94"/>
      <c r="AI525" s="94"/>
      <c r="AJ525" s="94"/>
      <c r="AK525" s="94"/>
      <c r="AL525" s="94"/>
      <c r="AM525" s="254"/>
      <c r="AN525" s="254"/>
      <c r="AO525" s="94"/>
      <c r="AP525" s="94"/>
      <c r="AQ525" s="94"/>
      <c r="AR525" s="94"/>
      <c r="AS525" s="207"/>
    </row>
    <row r="526" spans="13:45" ht="12.75">
      <c r="M526" s="104"/>
      <c r="O526" s="206" t="s">
        <v>4342</v>
      </c>
      <c r="P526" s="94" t="s">
        <v>2893</v>
      </c>
      <c r="Q526" s="180">
        <v>303206</v>
      </c>
      <c r="R526" s="258">
        <v>4000</v>
      </c>
      <c r="S526" s="259">
        <v>100</v>
      </c>
      <c r="T526" s="213" t="s">
        <v>5010</v>
      </c>
      <c r="U526" s="213">
        <v>3</v>
      </c>
      <c r="V526" s="213" t="s">
        <v>3439</v>
      </c>
      <c r="W526" s="213" t="s">
        <v>3361</v>
      </c>
      <c r="X526" s="213" t="s">
        <v>3441</v>
      </c>
      <c r="Y526" s="213" t="s">
        <v>4996</v>
      </c>
      <c r="Z526" s="213" t="s">
        <v>3719</v>
      </c>
      <c r="AA526" s="213">
        <v>100</v>
      </c>
      <c r="AB526" s="213">
        <v>100</v>
      </c>
      <c r="AC526" s="207" t="s">
        <v>4530</v>
      </c>
      <c r="AD526"/>
      <c r="AE526" s="206"/>
      <c r="AF526" s="94"/>
      <c r="AG526" s="94"/>
      <c r="AH526" s="94"/>
      <c r="AI526" s="94"/>
      <c r="AJ526" s="94"/>
      <c r="AK526" s="94"/>
      <c r="AL526" s="94"/>
      <c r="AM526" s="254"/>
      <c r="AN526" s="254"/>
      <c r="AO526" s="94"/>
      <c r="AP526" s="94"/>
      <c r="AQ526" s="94"/>
      <c r="AR526" s="94"/>
      <c r="AS526" s="207"/>
    </row>
    <row r="527" spans="13:45" ht="12.75">
      <c r="M527" s="104"/>
      <c r="O527" s="206" t="s">
        <v>4345</v>
      </c>
      <c r="P527" s="94" t="s">
        <v>2896</v>
      </c>
      <c r="Q527" s="180">
        <v>334633</v>
      </c>
      <c r="R527" s="258">
        <v>4000</v>
      </c>
      <c r="S527" s="259">
        <v>100</v>
      </c>
      <c r="T527" s="213" t="s">
        <v>5010</v>
      </c>
      <c r="U527" s="213">
        <v>3</v>
      </c>
      <c r="V527" s="213" t="s">
        <v>3439</v>
      </c>
      <c r="W527" s="213" t="s">
        <v>3361</v>
      </c>
      <c r="X527" s="213" t="s">
        <v>3445</v>
      </c>
      <c r="Y527" s="213" t="s">
        <v>4999</v>
      </c>
      <c r="Z527" s="213" t="s">
        <v>3719</v>
      </c>
      <c r="AA527" s="213">
        <v>100</v>
      </c>
      <c r="AB527" s="213">
        <v>100</v>
      </c>
      <c r="AC527" s="207" t="s">
        <v>4530</v>
      </c>
      <c r="AD527"/>
      <c r="AE527" s="206"/>
      <c r="AF527" s="94"/>
      <c r="AG527" s="94"/>
      <c r="AH527" s="94"/>
      <c r="AI527" s="94"/>
      <c r="AJ527" s="94"/>
      <c r="AK527" s="94"/>
      <c r="AL527" s="94"/>
      <c r="AM527" s="254"/>
      <c r="AN527" s="254"/>
      <c r="AO527" s="94"/>
      <c r="AP527" s="94"/>
      <c r="AQ527" s="94"/>
      <c r="AR527" s="94"/>
      <c r="AS527" s="207"/>
    </row>
    <row r="528" spans="13:45" ht="12.75">
      <c r="M528" s="104"/>
      <c r="O528" s="206" t="s">
        <v>4348</v>
      </c>
      <c r="P528" s="94" t="s">
        <v>2899</v>
      </c>
      <c r="Q528" s="180">
        <v>327415</v>
      </c>
      <c r="R528" s="258">
        <v>4000</v>
      </c>
      <c r="S528" s="259">
        <v>100</v>
      </c>
      <c r="T528" s="213" t="s">
        <v>5010</v>
      </c>
      <c r="U528" s="213">
        <v>3</v>
      </c>
      <c r="V528" s="213" t="s">
        <v>3439</v>
      </c>
      <c r="W528" s="213" t="s">
        <v>3361</v>
      </c>
      <c r="X528" s="213" t="s">
        <v>3445</v>
      </c>
      <c r="Y528" s="213" t="s">
        <v>4996</v>
      </c>
      <c r="Z528" s="213" t="s">
        <v>3719</v>
      </c>
      <c r="AA528" s="213">
        <v>100</v>
      </c>
      <c r="AB528" s="213">
        <v>100</v>
      </c>
      <c r="AC528" s="207" t="s">
        <v>4530</v>
      </c>
      <c r="AD528"/>
      <c r="AE528" s="206"/>
      <c r="AF528" s="94"/>
      <c r="AG528" s="94"/>
      <c r="AH528" s="94"/>
      <c r="AI528" s="94"/>
      <c r="AJ528" s="94"/>
      <c r="AK528" s="94"/>
      <c r="AL528" s="94"/>
      <c r="AM528" s="254"/>
      <c r="AN528" s="254"/>
      <c r="AO528" s="94"/>
      <c r="AP528" s="94"/>
      <c r="AQ528" s="94"/>
      <c r="AR528" s="94"/>
      <c r="AS528" s="207"/>
    </row>
    <row r="529" spans="13:45" ht="12.75">
      <c r="M529" s="104"/>
      <c r="O529" s="206" t="s">
        <v>4350</v>
      </c>
      <c r="P529" s="94" t="s">
        <v>2901</v>
      </c>
      <c r="Q529" s="180">
        <v>264696</v>
      </c>
      <c r="R529" s="258">
        <v>3200</v>
      </c>
      <c r="S529" s="259" t="s">
        <v>848</v>
      </c>
      <c r="T529" s="213" t="s">
        <v>5010</v>
      </c>
      <c r="U529" s="213">
        <v>3</v>
      </c>
      <c r="V529" s="213" t="s">
        <v>3443</v>
      </c>
      <c r="W529" s="213" t="s">
        <v>3572</v>
      </c>
      <c r="X529" s="213" t="s">
        <v>3441</v>
      </c>
      <c r="Y529" s="213" t="s">
        <v>4995</v>
      </c>
      <c r="Z529" s="213" t="s">
        <v>3719</v>
      </c>
      <c r="AA529" s="213">
        <v>100</v>
      </c>
      <c r="AB529" s="213">
        <v>100</v>
      </c>
      <c r="AC529" s="207" t="s">
        <v>4530</v>
      </c>
      <c r="AD529"/>
      <c r="AE529" s="206"/>
      <c r="AF529" s="94"/>
      <c r="AG529" s="94"/>
      <c r="AH529" s="94"/>
      <c r="AI529" s="94"/>
      <c r="AJ529" s="94"/>
      <c r="AK529" s="94"/>
      <c r="AL529" s="94"/>
      <c r="AM529" s="254"/>
      <c r="AN529" s="254"/>
      <c r="AO529" s="94"/>
      <c r="AP529" s="94"/>
      <c r="AQ529" s="94"/>
      <c r="AR529" s="94"/>
      <c r="AS529" s="207"/>
    </row>
    <row r="530" spans="13:45" ht="12.75">
      <c r="M530" s="104"/>
      <c r="O530" s="206" t="s">
        <v>4351</v>
      </c>
      <c r="P530" s="94" t="s">
        <v>2902</v>
      </c>
      <c r="Q530" s="180">
        <v>277545</v>
      </c>
      <c r="R530" s="258">
        <v>3200</v>
      </c>
      <c r="S530" s="259" t="s">
        <v>848</v>
      </c>
      <c r="T530" s="213" t="s">
        <v>5010</v>
      </c>
      <c r="U530" s="213">
        <v>3</v>
      </c>
      <c r="V530" s="213" t="s">
        <v>3443</v>
      </c>
      <c r="W530" s="213" t="s">
        <v>3572</v>
      </c>
      <c r="X530" s="213" t="s">
        <v>3441</v>
      </c>
      <c r="Y530" s="213" t="s">
        <v>4999</v>
      </c>
      <c r="Z530" s="213" t="s">
        <v>3719</v>
      </c>
      <c r="AA530" s="213">
        <v>100</v>
      </c>
      <c r="AB530" s="213">
        <v>100</v>
      </c>
      <c r="AC530" s="207" t="s">
        <v>4530</v>
      </c>
      <c r="AD530"/>
      <c r="AE530" s="206"/>
      <c r="AF530" s="94"/>
      <c r="AG530" s="94"/>
      <c r="AH530" s="94"/>
      <c r="AI530" s="94"/>
      <c r="AJ530" s="94"/>
      <c r="AK530" s="94"/>
      <c r="AL530" s="94"/>
      <c r="AM530" s="254"/>
      <c r="AN530" s="254"/>
      <c r="AO530" s="94"/>
      <c r="AP530" s="94"/>
      <c r="AQ530" s="94"/>
      <c r="AR530" s="94"/>
      <c r="AS530" s="207"/>
    </row>
    <row r="531" spans="13:45" ht="12.75">
      <c r="M531" s="104"/>
      <c r="O531" s="206" t="s">
        <v>4352</v>
      </c>
      <c r="P531" s="94" t="s">
        <v>2903</v>
      </c>
      <c r="Q531" s="180">
        <v>270326</v>
      </c>
      <c r="R531" s="258">
        <v>3200</v>
      </c>
      <c r="S531" s="259" t="s">
        <v>848</v>
      </c>
      <c r="T531" s="213" t="s">
        <v>5010</v>
      </c>
      <c r="U531" s="213">
        <v>3</v>
      </c>
      <c r="V531" s="213" t="s">
        <v>3443</v>
      </c>
      <c r="W531" s="213" t="s">
        <v>3572</v>
      </c>
      <c r="X531" s="213" t="s">
        <v>3441</v>
      </c>
      <c r="Y531" s="213" t="s">
        <v>4996</v>
      </c>
      <c r="Z531" s="213" t="s">
        <v>3719</v>
      </c>
      <c r="AA531" s="213">
        <v>100</v>
      </c>
      <c r="AB531" s="213">
        <v>100</v>
      </c>
      <c r="AC531" s="207" t="s">
        <v>4530</v>
      </c>
      <c r="AD531"/>
      <c r="AE531" s="206"/>
      <c r="AF531" s="94"/>
      <c r="AG531" s="94"/>
      <c r="AH531" s="94"/>
      <c r="AI531" s="94"/>
      <c r="AJ531" s="94"/>
      <c r="AK531" s="94"/>
      <c r="AL531" s="94"/>
      <c r="AM531" s="254"/>
      <c r="AN531" s="254"/>
      <c r="AO531" s="94"/>
      <c r="AP531" s="94"/>
      <c r="AQ531" s="94"/>
      <c r="AR531" s="94"/>
      <c r="AS531" s="207"/>
    </row>
    <row r="532" spans="13:45" ht="12.75">
      <c r="M532" s="104"/>
      <c r="O532" s="206" t="s">
        <v>4353</v>
      </c>
      <c r="P532" s="94" t="s">
        <v>2904</v>
      </c>
      <c r="Q532" s="180">
        <v>301753</v>
      </c>
      <c r="R532" s="258">
        <v>3200</v>
      </c>
      <c r="S532" s="259" t="s">
        <v>848</v>
      </c>
      <c r="T532" s="213" t="s">
        <v>5010</v>
      </c>
      <c r="U532" s="213">
        <v>3</v>
      </c>
      <c r="V532" s="213" t="s">
        <v>3443</v>
      </c>
      <c r="W532" s="213" t="s">
        <v>3572</v>
      </c>
      <c r="X532" s="213" t="s">
        <v>3445</v>
      </c>
      <c r="Y532" s="213" t="s">
        <v>4999</v>
      </c>
      <c r="Z532" s="213" t="s">
        <v>3719</v>
      </c>
      <c r="AA532" s="213">
        <v>100</v>
      </c>
      <c r="AB532" s="213">
        <v>100</v>
      </c>
      <c r="AC532" s="207" t="s">
        <v>4530</v>
      </c>
      <c r="AD532"/>
      <c r="AE532" s="206"/>
      <c r="AF532" s="94"/>
      <c r="AG532" s="94"/>
      <c r="AH532" s="94"/>
      <c r="AI532" s="94"/>
      <c r="AJ532" s="94"/>
      <c r="AK532" s="94"/>
      <c r="AL532" s="94"/>
      <c r="AM532" s="254"/>
      <c r="AN532" s="254"/>
      <c r="AO532" s="94"/>
      <c r="AP532" s="94"/>
      <c r="AQ532" s="94"/>
      <c r="AR532" s="94"/>
      <c r="AS532" s="207"/>
    </row>
    <row r="533" spans="13:45" ht="12.75">
      <c r="M533" s="104"/>
      <c r="O533" s="206" t="s">
        <v>4354</v>
      </c>
      <c r="P533" s="94" t="s">
        <v>2905</v>
      </c>
      <c r="Q533" s="180">
        <v>294536</v>
      </c>
      <c r="R533" s="258">
        <v>3200</v>
      </c>
      <c r="S533" s="259" t="s">
        <v>848</v>
      </c>
      <c r="T533" s="213" t="s">
        <v>5010</v>
      </c>
      <c r="U533" s="213">
        <v>3</v>
      </c>
      <c r="V533" s="213" t="s">
        <v>3443</v>
      </c>
      <c r="W533" s="213" t="s">
        <v>3572</v>
      </c>
      <c r="X533" s="213" t="s">
        <v>3445</v>
      </c>
      <c r="Y533" s="213" t="s">
        <v>4996</v>
      </c>
      <c r="Z533" s="213" t="s">
        <v>3719</v>
      </c>
      <c r="AA533" s="213">
        <v>100</v>
      </c>
      <c r="AB533" s="213">
        <v>100</v>
      </c>
      <c r="AC533" s="207" t="s">
        <v>4530</v>
      </c>
      <c r="AD533"/>
      <c r="AE533" s="206"/>
      <c r="AF533" s="94"/>
      <c r="AG533" s="94"/>
      <c r="AH533" s="94"/>
      <c r="AI533" s="94"/>
      <c r="AJ533" s="94"/>
      <c r="AK533" s="94"/>
      <c r="AL533" s="94"/>
      <c r="AM533" s="254"/>
      <c r="AN533" s="254"/>
      <c r="AO533" s="94"/>
      <c r="AP533" s="94"/>
      <c r="AQ533" s="94"/>
      <c r="AR533" s="94"/>
      <c r="AS533" s="207"/>
    </row>
    <row r="534" spans="13:45" ht="12.75">
      <c r="M534" s="104"/>
      <c r="O534" s="206" t="s">
        <v>4355</v>
      </c>
      <c r="P534" s="94" t="s">
        <v>2906</v>
      </c>
      <c r="Q534" s="180">
        <v>280058</v>
      </c>
      <c r="R534" s="258">
        <v>4000</v>
      </c>
      <c r="S534" s="259">
        <v>75</v>
      </c>
      <c r="T534" s="213" t="s">
        <v>5010</v>
      </c>
      <c r="U534" s="213">
        <v>3</v>
      </c>
      <c r="V534" s="213" t="s">
        <v>3443</v>
      </c>
      <c r="W534" s="213" t="s">
        <v>3572</v>
      </c>
      <c r="X534" s="213" t="s">
        <v>3441</v>
      </c>
      <c r="Y534" s="213" t="s">
        <v>4995</v>
      </c>
      <c r="Z534" s="213" t="s">
        <v>2871</v>
      </c>
      <c r="AA534" s="213">
        <v>75</v>
      </c>
      <c r="AB534" s="213">
        <v>75</v>
      </c>
      <c r="AC534" s="207" t="s">
        <v>4530</v>
      </c>
      <c r="AD534"/>
      <c r="AE534" s="206"/>
      <c r="AF534" s="94"/>
      <c r="AG534" s="94"/>
      <c r="AH534" s="94"/>
      <c r="AI534" s="94"/>
      <c r="AJ534" s="94"/>
      <c r="AK534" s="94"/>
      <c r="AL534" s="94"/>
      <c r="AM534" s="254"/>
      <c r="AN534" s="254"/>
      <c r="AO534" s="94"/>
      <c r="AP534" s="94"/>
      <c r="AQ534" s="94"/>
      <c r="AR534" s="94"/>
      <c r="AS534" s="207"/>
    </row>
    <row r="535" spans="13:45" ht="12.75">
      <c r="M535" s="104"/>
      <c r="O535" s="206" t="s">
        <v>4356</v>
      </c>
      <c r="P535" s="94" t="s">
        <v>2907</v>
      </c>
      <c r="Q535" s="180">
        <v>292906</v>
      </c>
      <c r="R535" s="258">
        <v>4000</v>
      </c>
      <c r="S535" s="259">
        <v>75</v>
      </c>
      <c r="T535" s="213" t="s">
        <v>5010</v>
      </c>
      <c r="U535" s="213">
        <v>3</v>
      </c>
      <c r="V535" s="213" t="s">
        <v>3443</v>
      </c>
      <c r="W535" s="213" t="s">
        <v>3572</v>
      </c>
      <c r="X535" s="213" t="s">
        <v>3441</v>
      </c>
      <c r="Y535" s="213" t="s">
        <v>4999</v>
      </c>
      <c r="Z535" s="213" t="s">
        <v>2871</v>
      </c>
      <c r="AA535" s="213">
        <v>75</v>
      </c>
      <c r="AB535" s="213">
        <v>75</v>
      </c>
      <c r="AC535" s="207" t="s">
        <v>4530</v>
      </c>
      <c r="AD535"/>
      <c r="AE535" s="206"/>
      <c r="AF535" s="94"/>
      <c r="AG535" s="94"/>
      <c r="AH535" s="94"/>
      <c r="AI535" s="94"/>
      <c r="AJ535" s="94"/>
      <c r="AK535" s="94"/>
      <c r="AL535" s="94"/>
      <c r="AM535" s="254"/>
      <c r="AN535" s="254"/>
      <c r="AO535" s="94"/>
      <c r="AP535" s="94"/>
      <c r="AQ535" s="94"/>
      <c r="AR535" s="94"/>
      <c r="AS535" s="207"/>
    </row>
    <row r="536" spans="13:45" ht="12.75">
      <c r="M536" s="104"/>
      <c r="O536" s="206" t="s">
        <v>4357</v>
      </c>
      <c r="P536" s="94" t="s">
        <v>2908</v>
      </c>
      <c r="Q536" s="180">
        <v>285688</v>
      </c>
      <c r="R536" s="258">
        <v>4000</v>
      </c>
      <c r="S536" s="259">
        <v>75</v>
      </c>
      <c r="T536" s="213" t="s">
        <v>5010</v>
      </c>
      <c r="U536" s="213">
        <v>3</v>
      </c>
      <c r="V536" s="213" t="s">
        <v>3443</v>
      </c>
      <c r="W536" s="213" t="s">
        <v>3572</v>
      </c>
      <c r="X536" s="213" t="s">
        <v>3441</v>
      </c>
      <c r="Y536" s="213" t="s">
        <v>4996</v>
      </c>
      <c r="Z536" s="213" t="s">
        <v>2871</v>
      </c>
      <c r="AA536" s="213">
        <v>75</v>
      </c>
      <c r="AB536" s="213">
        <v>75</v>
      </c>
      <c r="AC536" s="207" t="s">
        <v>4530</v>
      </c>
      <c r="AD536"/>
      <c r="AE536" s="206"/>
      <c r="AF536" s="94"/>
      <c r="AG536" s="94"/>
      <c r="AH536" s="94"/>
      <c r="AI536" s="94"/>
      <c r="AJ536" s="94"/>
      <c r="AK536" s="94"/>
      <c r="AL536" s="94"/>
      <c r="AM536" s="254"/>
      <c r="AN536" s="254"/>
      <c r="AO536" s="94"/>
      <c r="AP536" s="94"/>
      <c r="AQ536" s="94"/>
      <c r="AR536" s="94"/>
      <c r="AS536" s="207"/>
    </row>
    <row r="537" spans="13:45" ht="12.75">
      <c r="M537" s="104"/>
      <c r="O537" s="206" t="s">
        <v>4358</v>
      </c>
      <c r="P537" s="94" t="s">
        <v>2909</v>
      </c>
      <c r="Q537" s="180">
        <v>317114</v>
      </c>
      <c r="R537" s="258">
        <v>4000</v>
      </c>
      <c r="S537" s="259">
        <v>75</v>
      </c>
      <c r="T537" s="213" t="s">
        <v>5010</v>
      </c>
      <c r="U537" s="213">
        <v>3</v>
      </c>
      <c r="V537" s="213" t="s">
        <v>3443</v>
      </c>
      <c r="W537" s="213" t="s">
        <v>3572</v>
      </c>
      <c r="X537" s="213" t="s">
        <v>3445</v>
      </c>
      <c r="Y537" s="213" t="s">
        <v>4999</v>
      </c>
      <c r="Z537" s="213" t="s">
        <v>2871</v>
      </c>
      <c r="AA537" s="213">
        <v>75</v>
      </c>
      <c r="AB537" s="213">
        <v>75</v>
      </c>
      <c r="AC537" s="207" t="s">
        <v>4530</v>
      </c>
      <c r="AD537"/>
      <c r="AE537" s="206"/>
      <c r="AF537" s="94"/>
      <c r="AG537" s="94"/>
      <c r="AH537" s="94"/>
      <c r="AI537" s="94"/>
      <c r="AJ537" s="94"/>
      <c r="AK537" s="94"/>
      <c r="AL537" s="94"/>
      <c r="AM537" s="254"/>
      <c r="AN537" s="254"/>
      <c r="AO537" s="94"/>
      <c r="AP537" s="94"/>
      <c r="AQ537" s="94"/>
      <c r="AR537" s="94"/>
      <c r="AS537" s="207"/>
    </row>
    <row r="538" spans="13:45" ht="12.75">
      <c r="M538" s="104"/>
      <c r="O538" s="206" t="s">
        <v>4359</v>
      </c>
      <c r="P538" s="94" t="s">
        <v>2910</v>
      </c>
      <c r="Q538" s="180">
        <v>309897</v>
      </c>
      <c r="R538" s="258">
        <v>4000</v>
      </c>
      <c r="S538" s="259">
        <v>75</v>
      </c>
      <c r="T538" s="213" t="s">
        <v>5010</v>
      </c>
      <c r="U538" s="213">
        <v>3</v>
      </c>
      <c r="V538" s="213" t="s">
        <v>3443</v>
      </c>
      <c r="W538" s="213" t="s">
        <v>3572</v>
      </c>
      <c r="X538" s="213" t="s">
        <v>3445</v>
      </c>
      <c r="Y538" s="213" t="s">
        <v>4996</v>
      </c>
      <c r="Z538" s="213" t="s">
        <v>2871</v>
      </c>
      <c r="AA538" s="213">
        <v>75</v>
      </c>
      <c r="AB538" s="213">
        <v>75</v>
      </c>
      <c r="AC538" s="207" t="s">
        <v>4530</v>
      </c>
      <c r="AD538"/>
      <c r="AE538" s="206"/>
      <c r="AF538" s="94"/>
      <c r="AG538" s="94"/>
      <c r="AH538" s="94"/>
      <c r="AI538" s="94"/>
      <c r="AJ538" s="94"/>
      <c r="AK538" s="94"/>
      <c r="AL538" s="94"/>
      <c r="AM538" s="254"/>
      <c r="AN538" s="254"/>
      <c r="AO538" s="94"/>
      <c r="AP538" s="94"/>
      <c r="AQ538" s="94"/>
      <c r="AR538" s="94"/>
      <c r="AS538" s="207"/>
    </row>
    <row r="539" spans="13:45" ht="12.75">
      <c r="M539" s="104"/>
      <c r="O539" s="206" t="s">
        <v>4360</v>
      </c>
      <c r="P539" s="94" t="s">
        <v>2911</v>
      </c>
      <c r="Q539" s="180">
        <v>305565</v>
      </c>
      <c r="R539" s="258">
        <v>4000</v>
      </c>
      <c r="S539" s="259">
        <v>100</v>
      </c>
      <c r="T539" s="213" t="s">
        <v>5010</v>
      </c>
      <c r="U539" s="213">
        <v>3</v>
      </c>
      <c r="V539" s="213" t="s">
        <v>3443</v>
      </c>
      <c r="W539" s="213" t="s">
        <v>3572</v>
      </c>
      <c r="X539" s="213" t="s">
        <v>3441</v>
      </c>
      <c r="Y539" s="213" t="s">
        <v>4995</v>
      </c>
      <c r="Z539" s="213" t="s">
        <v>3719</v>
      </c>
      <c r="AA539" s="213">
        <v>100</v>
      </c>
      <c r="AB539" s="213">
        <v>100</v>
      </c>
      <c r="AC539" s="207" t="s">
        <v>4530</v>
      </c>
      <c r="AD539"/>
      <c r="AE539" s="206"/>
      <c r="AF539" s="94"/>
      <c r="AG539" s="94"/>
      <c r="AH539" s="94"/>
      <c r="AI539" s="94"/>
      <c r="AJ539" s="94"/>
      <c r="AK539" s="94"/>
      <c r="AL539" s="94"/>
      <c r="AM539" s="254"/>
      <c r="AN539" s="254"/>
      <c r="AO539" s="94"/>
      <c r="AP539" s="94"/>
      <c r="AQ539" s="94"/>
      <c r="AR539" s="94"/>
      <c r="AS539" s="207"/>
    </row>
    <row r="540" spans="13:45" ht="12.75">
      <c r="M540" s="104"/>
      <c r="O540" s="206" t="s">
        <v>4361</v>
      </c>
      <c r="P540" s="94" t="s">
        <v>2912</v>
      </c>
      <c r="Q540" s="180">
        <v>318411</v>
      </c>
      <c r="R540" s="258">
        <v>4000</v>
      </c>
      <c r="S540" s="259">
        <v>100</v>
      </c>
      <c r="T540" s="213" t="s">
        <v>5010</v>
      </c>
      <c r="U540" s="213">
        <v>3</v>
      </c>
      <c r="V540" s="213" t="s">
        <v>3443</v>
      </c>
      <c r="W540" s="213" t="s">
        <v>3572</v>
      </c>
      <c r="X540" s="213" t="s">
        <v>3441</v>
      </c>
      <c r="Y540" s="213" t="s">
        <v>4999</v>
      </c>
      <c r="Z540" s="213" t="s">
        <v>3719</v>
      </c>
      <c r="AA540" s="213">
        <v>100</v>
      </c>
      <c r="AB540" s="213">
        <v>100</v>
      </c>
      <c r="AC540" s="207" t="s">
        <v>4530</v>
      </c>
      <c r="AD540"/>
      <c r="AE540" s="206"/>
      <c r="AF540" s="94"/>
      <c r="AG540" s="94"/>
      <c r="AH540" s="94"/>
      <c r="AI540" s="94"/>
      <c r="AJ540" s="94"/>
      <c r="AK540" s="94"/>
      <c r="AL540" s="94"/>
      <c r="AM540" s="254"/>
      <c r="AN540" s="254"/>
      <c r="AO540" s="94"/>
      <c r="AP540" s="94"/>
      <c r="AQ540" s="94"/>
      <c r="AR540" s="94"/>
      <c r="AS540" s="207"/>
    </row>
    <row r="541" spans="13:45" ht="12.75">
      <c r="M541" s="104"/>
      <c r="O541" s="206" t="s">
        <v>4362</v>
      </c>
      <c r="P541" s="94" t="s">
        <v>2913</v>
      </c>
      <c r="Q541" s="180">
        <v>311195</v>
      </c>
      <c r="R541" s="258">
        <v>4000</v>
      </c>
      <c r="S541" s="259">
        <v>100</v>
      </c>
      <c r="T541" s="213" t="s">
        <v>5010</v>
      </c>
      <c r="U541" s="213">
        <v>3</v>
      </c>
      <c r="V541" s="213" t="s">
        <v>3443</v>
      </c>
      <c r="W541" s="213" t="s">
        <v>3572</v>
      </c>
      <c r="X541" s="213" t="s">
        <v>3441</v>
      </c>
      <c r="Y541" s="213" t="s">
        <v>4996</v>
      </c>
      <c r="Z541" s="213" t="s">
        <v>3719</v>
      </c>
      <c r="AA541" s="213">
        <v>100</v>
      </c>
      <c r="AB541" s="213">
        <v>100</v>
      </c>
      <c r="AC541" s="207" t="s">
        <v>4530</v>
      </c>
      <c r="AD541"/>
      <c r="AE541" s="206"/>
      <c r="AF541" s="94"/>
      <c r="AG541" s="94"/>
      <c r="AH541" s="94"/>
      <c r="AI541" s="94"/>
      <c r="AJ541" s="94"/>
      <c r="AK541" s="94"/>
      <c r="AL541" s="94"/>
      <c r="AM541" s="254"/>
      <c r="AN541" s="254"/>
      <c r="AO541" s="94"/>
      <c r="AP541" s="94"/>
      <c r="AQ541" s="94"/>
      <c r="AR541" s="94"/>
      <c r="AS541" s="207"/>
    </row>
    <row r="542" spans="13:45" ht="12.75">
      <c r="M542" s="104"/>
      <c r="O542" s="206" t="s">
        <v>4363</v>
      </c>
      <c r="P542" s="94" t="s">
        <v>2914</v>
      </c>
      <c r="Q542" s="180">
        <v>342620</v>
      </c>
      <c r="R542" s="258">
        <v>4000</v>
      </c>
      <c r="S542" s="259">
        <v>100</v>
      </c>
      <c r="T542" s="213" t="s">
        <v>5010</v>
      </c>
      <c r="U542" s="213">
        <v>3</v>
      </c>
      <c r="V542" s="213" t="s">
        <v>3443</v>
      </c>
      <c r="W542" s="213" t="s">
        <v>3572</v>
      </c>
      <c r="X542" s="213" t="s">
        <v>3445</v>
      </c>
      <c r="Y542" s="213" t="s">
        <v>4999</v>
      </c>
      <c r="Z542" s="213" t="s">
        <v>3719</v>
      </c>
      <c r="AA542" s="213">
        <v>100</v>
      </c>
      <c r="AB542" s="213">
        <v>100</v>
      </c>
      <c r="AC542" s="207" t="s">
        <v>4530</v>
      </c>
      <c r="AD542"/>
      <c r="AE542" s="206"/>
      <c r="AF542" s="94"/>
      <c r="AG542" s="94"/>
      <c r="AH542" s="94"/>
      <c r="AI542" s="94"/>
      <c r="AJ542" s="94"/>
      <c r="AK542" s="94"/>
      <c r="AL542" s="94"/>
      <c r="AM542" s="254"/>
      <c r="AN542" s="254"/>
      <c r="AO542" s="94"/>
      <c r="AP542" s="94"/>
      <c r="AQ542" s="94"/>
      <c r="AR542" s="94"/>
      <c r="AS542" s="207"/>
    </row>
    <row r="543" spans="13:45" ht="12.75">
      <c r="M543" s="104"/>
      <c r="O543" s="206" t="s">
        <v>4364</v>
      </c>
      <c r="P543" s="94" t="s">
        <v>2915</v>
      </c>
      <c r="Q543" s="180">
        <v>335403</v>
      </c>
      <c r="R543" s="258">
        <v>4000</v>
      </c>
      <c r="S543" s="259">
        <v>100</v>
      </c>
      <c r="T543" s="213" t="s">
        <v>5010</v>
      </c>
      <c r="U543" s="213">
        <v>3</v>
      </c>
      <c r="V543" s="213" t="s">
        <v>3443</v>
      </c>
      <c r="W543" s="213" t="s">
        <v>3572</v>
      </c>
      <c r="X543" s="213" t="s">
        <v>3445</v>
      </c>
      <c r="Y543" s="213" t="s">
        <v>4996</v>
      </c>
      <c r="Z543" s="213" t="s">
        <v>3719</v>
      </c>
      <c r="AA543" s="213">
        <v>100</v>
      </c>
      <c r="AB543" s="213">
        <v>100</v>
      </c>
      <c r="AC543" s="207" t="s">
        <v>4530</v>
      </c>
      <c r="AD543"/>
      <c r="AE543" s="206"/>
      <c r="AF543" s="94"/>
      <c r="AG543" s="94"/>
      <c r="AH543" s="94"/>
      <c r="AI543" s="94"/>
      <c r="AJ543" s="94"/>
      <c r="AK543" s="94"/>
      <c r="AL543" s="94"/>
      <c r="AM543" s="254"/>
      <c r="AN543" s="254"/>
      <c r="AO543" s="94"/>
      <c r="AP543" s="94"/>
      <c r="AQ543" s="94"/>
      <c r="AR543" s="94"/>
      <c r="AS543" s="207"/>
    </row>
    <row r="544" spans="13:45" ht="12.75">
      <c r="M544" s="104"/>
      <c r="O544" s="206" t="s">
        <v>4366</v>
      </c>
      <c r="P544" s="94" t="s">
        <v>2917</v>
      </c>
      <c r="Q544" s="180">
        <v>315827</v>
      </c>
      <c r="R544" s="258">
        <v>3200</v>
      </c>
      <c r="S544" s="259" t="s">
        <v>848</v>
      </c>
      <c r="T544" s="213" t="s">
        <v>5010</v>
      </c>
      <c r="U544" s="213">
        <v>4</v>
      </c>
      <c r="V544" s="213" t="s">
        <v>3439</v>
      </c>
      <c r="W544" s="213" t="s">
        <v>3361</v>
      </c>
      <c r="X544" s="213" t="s">
        <v>3441</v>
      </c>
      <c r="Y544" s="213" t="s">
        <v>4995</v>
      </c>
      <c r="Z544" s="213" t="s">
        <v>3719</v>
      </c>
      <c r="AA544" s="213">
        <v>100</v>
      </c>
      <c r="AB544" s="213">
        <v>100</v>
      </c>
      <c r="AC544" s="207" t="s">
        <v>4530</v>
      </c>
      <c r="AD544"/>
      <c r="AE544" s="206"/>
      <c r="AF544" s="94"/>
      <c r="AG544" s="94"/>
      <c r="AH544" s="94"/>
      <c r="AI544" s="94"/>
      <c r="AJ544" s="94"/>
      <c r="AK544" s="94"/>
      <c r="AL544" s="94"/>
      <c r="AM544" s="254"/>
      <c r="AN544" s="254"/>
      <c r="AO544" s="94"/>
      <c r="AP544" s="94"/>
      <c r="AQ544" s="94"/>
      <c r="AR544" s="94"/>
      <c r="AS544" s="207"/>
    </row>
    <row r="545" spans="13:45" ht="12.75">
      <c r="M545" s="104"/>
      <c r="O545" s="206" t="s">
        <v>4369</v>
      </c>
      <c r="P545" s="94" t="s">
        <v>2920</v>
      </c>
      <c r="Q545" s="180">
        <v>328675</v>
      </c>
      <c r="R545" s="258">
        <v>3200</v>
      </c>
      <c r="S545" s="259" t="s">
        <v>848</v>
      </c>
      <c r="T545" s="213" t="s">
        <v>5010</v>
      </c>
      <c r="U545" s="213">
        <v>4</v>
      </c>
      <c r="V545" s="213" t="s">
        <v>3439</v>
      </c>
      <c r="W545" s="213" t="s">
        <v>3361</v>
      </c>
      <c r="X545" s="213" t="s">
        <v>3441</v>
      </c>
      <c r="Y545" s="213" t="s">
        <v>4999</v>
      </c>
      <c r="Z545" s="213" t="s">
        <v>3719</v>
      </c>
      <c r="AA545" s="213">
        <v>100</v>
      </c>
      <c r="AB545" s="213">
        <v>100</v>
      </c>
      <c r="AC545" s="207" t="s">
        <v>4530</v>
      </c>
      <c r="AD545"/>
      <c r="AE545" s="206"/>
      <c r="AF545" s="94"/>
      <c r="AG545" s="94"/>
      <c r="AH545" s="94"/>
      <c r="AI545" s="94"/>
      <c r="AJ545" s="94"/>
      <c r="AK545" s="94"/>
      <c r="AL545" s="94"/>
      <c r="AM545" s="254"/>
      <c r="AN545" s="254"/>
      <c r="AO545" s="94"/>
      <c r="AP545" s="94"/>
      <c r="AQ545" s="94"/>
      <c r="AR545" s="94"/>
      <c r="AS545" s="207"/>
    </row>
    <row r="546" spans="13:45" ht="12.75">
      <c r="M546" s="104"/>
      <c r="O546" s="206" t="s">
        <v>4372</v>
      </c>
      <c r="P546" s="94" t="s">
        <v>2923</v>
      </c>
      <c r="Q546" s="180">
        <v>321457</v>
      </c>
      <c r="R546" s="258">
        <v>3200</v>
      </c>
      <c r="S546" s="259" t="s">
        <v>848</v>
      </c>
      <c r="T546" s="213" t="s">
        <v>5010</v>
      </c>
      <c r="U546" s="213">
        <v>4</v>
      </c>
      <c r="V546" s="213" t="s">
        <v>3439</v>
      </c>
      <c r="W546" s="213" t="s">
        <v>3361</v>
      </c>
      <c r="X546" s="213" t="s">
        <v>3441</v>
      </c>
      <c r="Y546" s="213" t="s">
        <v>4996</v>
      </c>
      <c r="Z546" s="213" t="s">
        <v>3719</v>
      </c>
      <c r="AA546" s="213">
        <v>100</v>
      </c>
      <c r="AB546" s="213">
        <v>100</v>
      </c>
      <c r="AC546" s="207" t="s">
        <v>4530</v>
      </c>
      <c r="AD546"/>
      <c r="AE546" s="206"/>
      <c r="AF546" s="94"/>
      <c r="AG546" s="94"/>
      <c r="AH546" s="94"/>
      <c r="AI546" s="94"/>
      <c r="AJ546" s="94"/>
      <c r="AK546" s="94"/>
      <c r="AL546" s="94"/>
      <c r="AM546" s="254"/>
      <c r="AN546" s="254"/>
      <c r="AO546" s="94"/>
      <c r="AP546" s="94"/>
      <c r="AQ546" s="94"/>
      <c r="AR546" s="94"/>
      <c r="AS546" s="207"/>
    </row>
    <row r="547" spans="13:45" ht="12.75">
      <c r="M547" s="104"/>
      <c r="O547" s="206" t="s">
        <v>4375</v>
      </c>
      <c r="P547" s="94" t="s">
        <v>2926</v>
      </c>
      <c r="Q547" s="180">
        <v>352885</v>
      </c>
      <c r="R547" s="258">
        <v>3200</v>
      </c>
      <c r="S547" s="259" t="s">
        <v>848</v>
      </c>
      <c r="T547" s="213" t="s">
        <v>5010</v>
      </c>
      <c r="U547" s="213">
        <v>4</v>
      </c>
      <c r="V547" s="213" t="s">
        <v>3439</v>
      </c>
      <c r="W547" s="213" t="s">
        <v>3361</v>
      </c>
      <c r="X547" s="213" t="s">
        <v>3445</v>
      </c>
      <c r="Y547" s="213" t="s">
        <v>4999</v>
      </c>
      <c r="Z547" s="213" t="s">
        <v>3719</v>
      </c>
      <c r="AA547" s="213">
        <v>100</v>
      </c>
      <c r="AB547" s="213">
        <v>100</v>
      </c>
      <c r="AC547" s="207" t="s">
        <v>4530</v>
      </c>
      <c r="AD547"/>
      <c r="AE547" s="206"/>
      <c r="AF547" s="94"/>
      <c r="AG547" s="94"/>
      <c r="AH547" s="94"/>
      <c r="AI547" s="94"/>
      <c r="AJ547" s="94"/>
      <c r="AK547" s="94"/>
      <c r="AL547" s="94"/>
      <c r="AM547" s="254"/>
      <c r="AN547" s="254"/>
      <c r="AO547" s="94"/>
      <c r="AP547" s="94"/>
      <c r="AQ547" s="94"/>
      <c r="AR547" s="94"/>
      <c r="AS547" s="207"/>
    </row>
    <row r="548" spans="13:45" ht="12.75">
      <c r="M548" s="104"/>
      <c r="O548" s="206" t="s">
        <v>4378</v>
      </c>
      <c r="P548" s="94" t="s">
        <v>2929</v>
      </c>
      <c r="Q548" s="180">
        <v>345665</v>
      </c>
      <c r="R548" s="258">
        <v>3200</v>
      </c>
      <c r="S548" s="259" t="s">
        <v>848</v>
      </c>
      <c r="T548" s="213" t="s">
        <v>5010</v>
      </c>
      <c r="U548" s="213">
        <v>4</v>
      </c>
      <c r="V548" s="213" t="s">
        <v>3439</v>
      </c>
      <c r="W548" s="213" t="s">
        <v>3361</v>
      </c>
      <c r="X548" s="213" t="s">
        <v>3445</v>
      </c>
      <c r="Y548" s="213" t="s">
        <v>4996</v>
      </c>
      <c r="Z548" s="213" t="s">
        <v>3719</v>
      </c>
      <c r="AA548" s="213">
        <v>100</v>
      </c>
      <c r="AB548" s="213">
        <v>100</v>
      </c>
      <c r="AC548" s="207" t="s">
        <v>4530</v>
      </c>
      <c r="AD548"/>
      <c r="AE548" s="206"/>
      <c r="AF548" s="94"/>
      <c r="AG548" s="94"/>
      <c r="AH548" s="94"/>
      <c r="AI548" s="94"/>
      <c r="AJ548" s="94"/>
      <c r="AK548" s="94"/>
      <c r="AL548" s="94"/>
      <c r="AM548" s="254"/>
      <c r="AN548" s="254"/>
      <c r="AO548" s="94"/>
      <c r="AP548" s="94"/>
      <c r="AQ548" s="94"/>
      <c r="AR548" s="94"/>
      <c r="AS548" s="207"/>
    </row>
    <row r="549" spans="13:45" ht="12.75">
      <c r="M549" s="104"/>
      <c r="O549" s="206" t="s">
        <v>4381</v>
      </c>
      <c r="P549" s="94" t="s">
        <v>2932</v>
      </c>
      <c r="Q549" s="180">
        <v>314783</v>
      </c>
      <c r="R549" s="258">
        <v>4000</v>
      </c>
      <c r="S549" s="259">
        <v>75</v>
      </c>
      <c r="T549" s="213" t="s">
        <v>5010</v>
      </c>
      <c r="U549" s="213">
        <v>4</v>
      </c>
      <c r="V549" s="213" t="s">
        <v>3439</v>
      </c>
      <c r="W549" s="213" t="s">
        <v>3361</v>
      </c>
      <c r="X549" s="213" t="s">
        <v>3441</v>
      </c>
      <c r="Y549" s="213" t="s">
        <v>4995</v>
      </c>
      <c r="Z549" s="213" t="s">
        <v>2871</v>
      </c>
      <c r="AA549" s="213">
        <v>75</v>
      </c>
      <c r="AB549" s="213">
        <v>75</v>
      </c>
      <c r="AC549" s="207" t="s">
        <v>4530</v>
      </c>
      <c r="AD549"/>
      <c r="AE549" s="206"/>
      <c r="AF549" s="94"/>
      <c r="AG549" s="94"/>
      <c r="AH549" s="94"/>
      <c r="AI549" s="94"/>
      <c r="AJ549" s="94"/>
      <c r="AK549" s="94"/>
      <c r="AL549" s="94"/>
      <c r="AM549" s="254"/>
      <c r="AN549" s="254"/>
      <c r="AO549" s="94"/>
      <c r="AP549" s="94"/>
      <c r="AQ549" s="94"/>
      <c r="AR549" s="94"/>
      <c r="AS549" s="207"/>
    </row>
    <row r="550" spans="13:45" ht="12.75">
      <c r="M550" s="104"/>
      <c r="O550" s="206" t="s">
        <v>4384</v>
      </c>
      <c r="P550" s="94" t="s">
        <v>2935</v>
      </c>
      <c r="Q550" s="180">
        <v>327628</v>
      </c>
      <c r="R550" s="258">
        <v>4000</v>
      </c>
      <c r="S550" s="259">
        <v>75</v>
      </c>
      <c r="T550" s="213" t="s">
        <v>5010</v>
      </c>
      <c r="U550" s="213">
        <v>4</v>
      </c>
      <c r="V550" s="213" t="s">
        <v>3439</v>
      </c>
      <c r="W550" s="213" t="s">
        <v>3361</v>
      </c>
      <c r="X550" s="213" t="s">
        <v>3441</v>
      </c>
      <c r="Y550" s="213" t="s">
        <v>4999</v>
      </c>
      <c r="Z550" s="213" t="s">
        <v>2871</v>
      </c>
      <c r="AA550" s="213">
        <v>75</v>
      </c>
      <c r="AB550" s="213">
        <v>75</v>
      </c>
      <c r="AC550" s="207" t="s">
        <v>4530</v>
      </c>
      <c r="AD550"/>
      <c r="AE550" s="206"/>
      <c r="AF550" s="94"/>
      <c r="AG550" s="94"/>
      <c r="AH550" s="94"/>
      <c r="AI550" s="94"/>
      <c r="AJ550" s="94"/>
      <c r="AK550" s="94"/>
      <c r="AL550" s="94"/>
      <c r="AM550" s="254"/>
      <c r="AN550" s="254"/>
      <c r="AO550" s="94"/>
      <c r="AP550" s="94"/>
      <c r="AQ550" s="94"/>
      <c r="AR550" s="94"/>
      <c r="AS550" s="207"/>
    </row>
    <row r="551" spans="13:45" ht="12.75">
      <c r="M551" s="104"/>
      <c r="O551" s="206" t="s">
        <v>4387</v>
      </c>
      <c r="P551" s="94" t="s">
        <v>2938</v>
      </c>
      <c r="Q551" s="180">
        <v>320413</v>
      </c>
      <c r="R551" s="258">
        <v>4000</v>
      </c>
      <c r="S551" s="259">
        <v>75</v>
      </c>
      <c r="T551" s="213" t="s">
        <v>5010</v>
      </c>
      <c r="U551" s="213">
        <v>4</v>
      </c>
      <c r="V551" s="213" t="s">
        <v>3439</v>
      </c>
      <c r="W551" s="213" t="s">
        <v>3361</v>
      </c>
      <c r="X551" s="213" t="s">
        <v>3441</v>
      </c>
      <c r="Y551" s="213" t="s">
        <v>4996</v>
      </c>
      <c r="Z551" s="213" t="s">
        <v>2871</v>
      </c>
      <c r="AA551" s="213">
        <v>75</v>
      </c>
      <c r="AB551" s="213">
        <v>75</v>
      </c>
      <c r="AC551" s="207" t="s">
        <v>4530</v>
      </c>
      <c r="AD551"/>
      <c r="AE551" s="206"/>
      <c r="AF551" s="94"/>
      <c r="AG551" s="94"/>
      <c r="AH551" s="94"/>
      <c r="AI551" s="94"/>
      <c r="AJ551" s="94"/>
      <c r="AK551" s="94"/>
      <c r="AL551" s="94"/>
      <c r="AM551" s="254"/>
      <c r="AN551" s="254"/>
      <c r="AO551" s="94"/>
      <c r="AP551" s="94"/>
      <c r="AQ551" s="94"/>
      <c r="AR551" s="94"/>
      <c r="AS551" s="207"/>
    </row>
    <row r="552" spans="13:45" ht="12.75">
      <c r="M552" s="104"/>
      <c r="O552" s="206" t="s">
        <v>4390</v>
      </c>
      <c r="P552" s="94" t="s">
        <v>1415</v>
      </c>
      <c r="Q552" s="180">
        <v>351838</v>
      </c>
      <c r="R552" s="258">
        <v>4000</v>
      </c>
      <c r="S552" s="259">
        <v>75</v>
      </c>
      <c r="T552" s="213" t="s">
        <v>5010</v>
      </c>
      <c r="U552" s="213">
        <v>4</v>
      </c>
      <c r="V552" s="213" t="s">
        <v>3439</v>
      </c>
      <c r="W552" s="213" t="s">
        <v>3361</v>
      </c>
      <c r="X552" s="213" t="s">
        <v>3445</v>
      </c>
      <c r="Y552" s="213" t="s">
        <v>4999</v>
      </c>
      <c r="Z552" s="213" t="s">
        <v>2871</v>
      </c>
      <c r="AA552" s="213">
        <v>75</v>
      </c>
      <c r="AB552" s="213">
        <v>75</v>
      </c>
      <c r="AC552" s="207" t="s">
        <v>4530</v>
      </c>
      <c r="AD552"/>
      <c r="AE552" s="206"/>
      <c r="AF552" s="94"/>
      <c r="AG552" s="94"/>
      <c r="AH552" s="94"/>
      <c r="AI552" s="94"/>
      <c r="AJ552" s="94"/>
      <c r="AK552" s="94"/>
      <c r="AL552" s="94"/>
      <c r="AM552" s="254"/>
      <c r="AN552" s="254"/>
      <c r="AO552" s="94"/>
      <c r="AP552" s="94"/>
      <c r="AQ552" s="94"/>
      <c r="AR552" s="94"/>
      <c r="AS552" s="207"/>
    </row>
    <row r="553" spans="13:45" ht="12.75">
      <c r="M553" s="104"/>
      <c r="O553" s="206" t="s">
        <v>4393</v>
      </c>
      <c r="P553" s="94" t="s">
        <v>3695</v>
      </c>
      <c r="Q553" s="180">
        <v>344621</v>
      </c>
      <c r="R553" s="258">
        <v>4000</v>
      </c>
      <c r="S553" s="259">
        <v>75</v>
      </c>
      <c r="T553" s="213" t="s">
        <v>5010</v>
      </c>
      <c r="U553" s="213">
        <v>4</v>
      </c>
      <c r="V553" s="213" t="s">
        <v>3439</v>
      </c>
      <c r="W553" s="213" t="s">
        <v>3361</v>
      </c>
      <c r="X553" s="213" t="s">
        <v>3445</v>
      </c>
      <c r="Y553" s="213" t="s">
        <v>4996</v>
      </c>
      <c r="Z553" s="213" t="s">
        <v>2871</v>
      </c>
      <c r="AA553" s="213">
        <v>75</v>
      </c>
      <c r="AB553" s="213">
        <v>75</v>
      </c>
      <c r="AC553" s="207" t="s">
        <v>4530</v>
      </c>
      <c r="AD553"/>
      <c r="AE553" s="206"/>
      <c r="AF553" s="94"/>
      <c r="AG553" s="94"/>
      <c r="AH553" s="94"/>
      <c r="AI553" s="94"/>
      <c r="AJ553" s="94"/>
      <c r="AK553" s="94"/>
      <c r="AL553" s="94"/>
      <c r="AM553" s="254"/>
      <c r="AN553" s="254"/>
      <c r="AO553" s="94"/>
      <c r="AP553" s="94"/>
      <c r="AQ553" s="94"/>
      <c r="AR553" s="94"/>
      <c r="AS553" s="207"/>
    </row>
    <row r="554" spans="13:45" ht="12.75">
      <c r="M554" s="104"/>
      <c r="O554" s="206" t="s">
        <v>4396</v>
      </c>
      <c r="P554" s="94" t="s">
        <v>3698</v>
      </c>
      <c r="Q554" s="180">
        <v>351397</v>
      </c>
      <c r="R554" s="258">
        <v>4000</v>
      </c>
      <c r="S554" s="259">
        <v>100</v>
      </c>
      <c r="T554" s="213" t="s">
        <v>5010</v>
      </c>
      <c r="U554" s="213">
        <v>4</v>
      </c>
      <c r="V554" s="213" t="s">
        <v>3439</v>
      </c>
      <c r="W554" s="213" t="s">
        <v>3361</v>
      </c>
      <c r="X554" s="213" t="s">
        <v>3441</v>
      </c>
      <c r="Y554" s="213" t="s">
        <v>4995</v>
      </c>
      <c r="Z554" s="213" t="s">
        <v>3719</v>
      </c>
      <c r="AA554" s="213">
        <v>100</v>
      </c>
      <c r="AB554" s="213">
        <v>100</v>
      </c>
      <c r="AC554" s="207" t="s">
        <v>4530</v>
      </c>
      <c r="AD554"/>
      <c r="AE554" s="206"/>
      <c r="AF554" s="94"/>
      <c r="AG554" s="94"/>
      <c r="AH554" s="94"/>
      <c r="AI554" s="94"/>
      <c r="AJ554" s="94"/>
      <c r="AK554" s="94"/>
      <c r="AL554" s="94"/>
      <c r="AM554" s="254"/>
      <c r="AN554" s="254"/>
      <c r="AO554" s="94"/>
      <c r="AP554" s="94"/>
      <c r="AQ554" s="94"/>
      <c r="AR554" s="94"/>
      <c r="AS554" s="207"/>
    </row>
    <row r="555" spans="13:45" ht="12.75">
      <c r="M555" s="104"/>
      <c r="O555" s="206" t="s">
        <v>4399</v>
      </c>
      <c r="P555" s="94" t="s">
        <v>3701</v>
      </c>
      <c r="Q555" s="180">
        <v>364245</v>
      </c>
      <c r="R555" s="258">
        <v>4000</v>
      </c>
      <c r="S555" s="259">
        <v>100</v>
      </c>
      <c r="T555" s="213" t="s">
        <v>5010</v>
      </c>
      <c r="U555" s="213">
        <v>4</v>
      </c>
      <c r="V555" s="213" t="s">
        <v>3439</v>
      </c>
      <c r="W555" s="213" t="s">
        <v>3361</v>
      </c>
      <c r="X555" s="213" t="s">
        <v>3441</v>
      </c>
      <c r="Y555" s="213" t="s">
        <v>4999</v>
      </c>
      <c r="Z555" s="213" t="s">
        <v>3719</v>
      </c>
      <c r="AA555" s="213">
        <v>100</v>
      </c>
      <c r="AB555" s="213">
        <v>100</v>
      </c>
      <c r="AC555" s="207" t="s">
        <v>4530</v>
      </c>
      <c r="AD555"/>
      <c r="AE555" s="206"/>
      <c r="AF555" s="94"/>
      <c r="AG555" s="94"/>
      <c r="AH555" s="94"/>
      <c r="AI555" s="94"/>
      <c r="AJ555" s="94"/>
      <c r="AK555" s="94"/>
      <c r="AL555" s="94"/>
      <c r="AM555" s="254"/>
      <c r="AN555" s="254"/>
      <c r="AO555" s="94"/>
      <c r="AP555" s="94"/>
      <c r="AQ555" s="94"/>
      <c r="AR555" s="94"/>
      <c r="AS555" s="207"/>
    </row>
    <row r="556" spans="13:45" ht="12.75">
      <c r="M556" s="104"/>
      <c r="O556" s="206" t="s">
        <v>4402</v>
      </c>
      <c r="P556" s="94" t="s">
        <v>1382</v>
      </c>
      <c r="Q556" s="180">
        <v>357028</v>
      </c>
      <c r="R556" s="258">
        <v>4000</v>
      </c>
      <c r="S556" s="259">
        <v>100</v>
      </c>
      <c r="T556" s="213" t="s">
        <v>5010</v>
      </c>
      <c r="U556" s="213">
        <v>4</v>
      </c>
      <c r="V556" s="213" t="s">
        <v>3439</v>
      </c>
      <c r="W556" s="213" t="s">
        <v>3361</v>
      </c>
      <c r="X556" s="213" t="s">
        <v>3441</v>
      </c>
      <c r="Y556" s="213" t="s">
        <v>4996</v>
      </c>
      <c r="Z556" s="213" t="s">
        <v>3719</v>
      </c>
      <c r="AA556" s="213">
        <v>100</v>
      </c>
      <c r="AB556" s="213">
        <v>100</v>
      </c>
      <c r="AC556" s="207" t="s">
        <v>4530</v>
      </c>
      <c r="AD556"/>
      <c r="AE556" s="206"/>
      <c r="AF556" s="94"/>
      <c r="AG556" s="94"/>
      <c r="AH556" s="94"/>
      <c r="AI556" s="94"/>
      <c r="AJ556" s="94"/>
      <c r="AK556" s="94"/>
      <c r="AL556" s="94"/>
      <c r="AM556" s="254"/>
      <c r="AN556" s="254"/>
      <c r="AO556" s="94"/>
      <c r="AP556" s="94"/>
      <c r="AQ556" s="94"/>
      <c r="AR556" s="94"/>
      <c r="AS556" s="207"/>
    </row>
    <row r="557" spans="13:45" ht="12.75">
      <c r="M557" s="104"/>
      <c r="O557" s="206" t="s">
        <v>4405</v>
      </c>
      <c r="P557" s="94" t="s">
        <v>1385</v>
      </c>
      <c r="Q557" s="180">
        <v>388453</v>
      </c>
      <c r="R557" s="258">
        <v>4000</v>
      </c>
      <c r="S557" s="259">
        <v>100</v>
      </c>
      <c r="T557" s="213" t="s">
        <v>5010</v>
      </c>
      <c r="U557" s="213">
        <v>4</v>
      </c>
      <c r="V557" s="213" t="s">
        <v>3439</v>
      </c>
      <c r="W557" s="213" t="s">
        <v>3361</v>
      </c>
      <c r="X557" s="213" t="s">
        <v>3445</v>
      </c>
      <c r="Y557" s="213" t="s">
        <v>4999</v>
      </c>
      <c r="Z557" s="213" t="s">
        <v>3719</v>
      </c>
      <c r="AA557" s="213">
        <v>100</v>
      </c>
      <c r="AB557" s="213">
        <v>100</v>
      </c>
      <c r="AC557" s="207" t="s">
        <v>4530</v>
      </c>
      <c r="AD557"/>
      <c r="AE557" s="206"/>
      <c r="AF557" s="94"/>
      <c r="AG557" s="94"/>
      <c r="AH557" s="94"/>
      <c r="AI557" s="94"/>
      <c r="AJ557" s="94"/>
      <c r="AK557" s="94"/>
      <c r="AL557" s="94"/>
      <c r="AM557" s="254"/>
      <c r="AN557" s="254"/>
      <c r="AO557" s="94"/>
      <c r="AP557" s="94"/>
      <c r="AQ557" s="94"/>
      <c r="AR557" s="94"/>
      <c r="AS557" s="207"/>
    </row>
    <row r="558" spans="13:45" ht="12.75">
      <c r="M558" s="104"/>
      <c r="O558" s="206" t="s">
        <v>4408</v>
      </c>
      <c r="P558" s="94" t="s">
        <v>4479</v>
      </c>
      <c r="Q558" s="180">
        <v>381237</v>
      </c>
      <c r="R558" s="258">
        <v>4000</v>
      </c>
      <c r="S558" s="259">
        <v>100</v>
      </c>
      <c r="T558" s="213" t="s">
        <v>5010</v>
      </c>
      <c r="U558" s="213">
        <v>4</v>
      </c>
      <c r="V558" s="213" t="s">
        <v>3439</v>
      </c>
      <c r="W558" s="213" t="s">
        <v>3361</v>
      </c>
      <c r="X558" s="213" t="s">
        <v>3445</v>
      </c>
      <c r="Y558" s="213" t="s">
        <v>4996</v>
      </c>
      <c r="Z558" s="213" t="s">
        <v>3719</v>
      </c>
      <c r="AA558" s="213">
        <v>100</v>
      </c>
      <c r="AB558" s="213">
        <v>100</v>
      </c>
      <c r="AC558" s="207" t="s">
        <v>4530</v>
      </c>
      <c r="AD558"/>
      <c r="AE558" s="206"/>
      <c r="AF558" s="94"/>
      <c r="AG558" s="94"/>
      <c r="AH558" s="94"/>
      <c r="AI558" s="94"/>
      <c r="AJ558" s="94"/>
      <c r="AK558" s="94"/>
      <c r="AL558" s="94"/>
      <c r="AM558" s="254"/>
      <c r="AN558" s="254"/>
      <c r="AO558" s="94"/>
      <c r="AP558" s="94"/>
      <c r="AQ558" s="94"/>
      <c r="AR558" s="94"/>
      <c r="AS558" s="207"/>
    </row>
    <row r="559" spans="13:45" ht="12.75">
      <c r="M559" s="104"/>
      <c r="O559" s="206" t="s">
        <v>4410</v>
      </c>
      <c r="P559" s="94" t="s">
        <v>4481</v>
      </c>
      <c r="Q559" s="180">
        <v>326498</v>
      </c>
      <c r="R559" s="258">
        <v>3200</v>
      </c>
      <c r="S559" s="259" t="s">
        <v>848</v>
      </c>
      <c r="T559" s="213" t="s">
        <v>5010</v>
      </c>
      <c r="U559" s="213">
        <v>4</v>
      </c>
      <c r="V559" s="213" t="s">
        <v>3443</v>
      </c>
      <c r="W559" s="213" t="s">
        <v>3572</v>
      </c>
      <c r="X559" s="213" t="s">
        <v>3441</v>
      </c>
      <c r="Y559" s="213" t="s">
        <v>4995</v>
      </c>
      <c r="Z559" s="213" t="s">
        <v>3719</v>
      </c>
      <c r="AA559" s="213">
        <v>100</v>
      </c>
      <c r="AB559" s="213">
        <v>100</v>
      </c>
      <c r="AC559" s="207" t="s">
        <v>4530</v>
      </c>
      <c r="AD559"/>
      <c r="AE559" s="206"/>
      <c r="AF559" s="94"/>
      <c r="AG559" s="94"/>
      <c r="AH559" s="94"/>
      <c r="AI559" s="94"/>
      <c r="AJ559" s="94"/>
      <c r="AK559" s="94"/>
      <c r="AL559" s="94"/>
      <c r="AM559" s="254"/>
      <c r="AN559" s="254"/>
      <c r="AO559" s="94"/>
      <c r="AP559" s="94"/>
      <c r="AQ559" s="94"/>
      <c r="AR559" s="94"/>
      <c r="AS559" s="207"/>
    </row>
    <row r="560" spans="13:45" ht="12.75">
      <c r="M560" s="104"/>
      <c r="O560" s="206" t="s">
        <v>4411</v>
      </c>
      <c r="P560" s="94" t="s">
        <v>1391</v>
      </c>
      <c r="Q560" s="180">
        <v>339346</v>
      </c>
      <c r="R560" s="258">
        <v>3200</v>
      </c>
      <c r="S560" s="259" t="s">
        <v>848</v>
      </c>
      <c r="T560" s="213" t="s">
        <v>5010</v>
      </c>
      <c r="U560" s="213">
        <v>4</v>
      </c>
      <c r="V560" s="213" t="s">
        <v>3443</v>
      </c>
      <c r="W560" s="213" t="s">
        <v>3572</v>
      </c>
      <c r="X560" s="213" t="s">
        <v>3441</v>
      </c>
      <c r="Y560" s="213" t="s">
        <v>4999</v>
      </c>
      <c r="Z560" s="213" t="s">
        <v>3719</v>
      </c>
      <c r="AA560" s="213">
        <v>100</v>
      </c>
      <c r="AB560" s="213">
        <v>100</v>
      </c>
      <c r="AC560" s="207" t="s">
        <v>4530</v>
      </c>
      <c r="AD560"/>
      <c r="AE560" s="206"/>
      <c r="AF560" s="94"/>
      <c r="AG560" s="94"/>
      <c r="AH560" s="94"/>
      <c r="AI560" s="94"/>
      <c r="AJ560" s="94"/>
      <c r="AK560" s="94"/>
      <c r="AL560" s="94"/>
      <c r="AM560" s="254"/>
      <c r="AN560" s="254"/>
      <c r="AO560" s="94"/>
      <c r="AP560" s="94"/>
      <c r="AQ560" s="94"/>
      <c r="AR560" s="94"/>
      <c r="AS560" s="207"/>
    </row>
    <row r="561" spans="13:45" ht="12.75">
      <c r="M561" s="104"/>
      <c r="O561" s="206" t="s">
        <v>4412</v>
      </c>
      <c r="P561" s="94" t="s">
        <v>1392</v>
      </c>
      <c r="Q561" s="180">
        <v>332128</v>
      </c>
      <c r="R561" s="258">
        <v>3200</v>
      </c>
      <c r="S561" s="259" t="s">
        <v>848</v>
      </c>
      <c r="T561" s="213" t="s">
        <v>5010</v>
      </c>
      <c r="U561" s="213">
        <v>4</v>
      </c>
      <c r="V561" s="213" t="s">
        <v>3443</v>
      </c>
      <c r="W561" s="213" t="s">
        <v>3572</v>
      </c>
      <c r="X561" s="213" t="s">
        <v>3441</v>
      </c>
      <c r="Y561" s="213" t="s">
        <v>4996</v>
      </c>
      <c r="Z561" s="213" t="s">
        <v>3719</v>
      </c>
      <c r="AA561" s="213">
        <v>100</v>
      </c>
      <c r="AB561" s="213">
        <v>100</v>
      </c>
      <c r="AC561" s="207" t="s">
        <v>4530</v>
      </c>
      <c r="AD561"/>
      <c r="AE561" s="206"/>
      <c r="AF561" s="94"/>
      <c r="AG561" s="94"/>
      <c r="AH561" s="94"/>
      <c r="AI561" s="94"/>
      <c r="AJ561" s="94"/>
      <c r="AK561" s="94"/>
      <c r="AL561" s="94"/>
      <c r="AM561" s="254"/>
      <c r="AN561" s="254"/>
      <c r="AO561" s="94"/>
      <c r="AP561" s="94"/>
      <c r="AQ561" s="94"/>
      <c r="AR561" s="94"/>
      <c r="AS561" s="207"/>
    </row>
    <row r="562" spans="13:45" ht="12.75">
      <c r="M562" s="104"/>
      <c r="O562" s="206" t="s">
        <v>4413</v>
      </c>
      <c r="P562" s="94" t="s">
        <v>1393</v>
      </c>
      <c r="Q562" s="180">
        <v>363556</v>
      </c>
      <c r="R562" s="258">
        <v>3200</v>
      </c>
      <c r="S562" s="259" t="s">
        <v>848</v>
      </c>
      <c r="T562" s="213" t="s">
        <v>5010</v>
      </c>
      <c r="U562" s="213">
        <v>4</v>
      </c>
      <c r="V562" s="213" t="s">
        <v>3443</v>
      </c>
      <c r="W562" s="213" t="s">
        <v>3572</v>
      </c>
      <c r="X562" s="213" t="s">
        <v>3445</v>
      </c>
      <c r="Y562" s="213" t="s">
        <v>4999</v>
      </c>
      <c r="Z562" s="213" t="s">
        <v>3719</v>
      </c>
      <c r="AA562" s="213">
        <v>100</v>
      </c>
      <c r="AB562" s="213">
        <v>100</v>
      </c>
      <c r="AC562" s="207" t="s">
        <v>4530</v>
      </c>
      <c r="AD562"/>
      <c r="AE562" s="206"/>
      <c r="AF562" s="94"/>
      <c r="AG562" s="94"/>
      <c r="AH562" s="94"/>
      <c r="AI562" s="94"/>
      <c r="AJ562" s="94"/>
      <c r="AK562" s="94"/>
      <c r="AL562" s="94"/>
      <c r="AM562" s="254"/>
      <c r="AN562" s="254"/>
      <c r="AO562" s="94"/>
      <c r="AP562" s="94"/>
      <c r="AQ562" s="94"/>
      <c r="AR562" s="94"/>
      <c r="AS562" s="207"/>
    </row>
    <row r="563" spans="13:45" ht="12.75">
      <c r="M563" s="104"/>
      <c r="O563" s="206" t="s">
        <v>4414</v>
      </c>
      <c r="P563" s="94" t="s">
        <v>1394</v>
      </c>
      <c r="Q563" s="180">
        <v>356337</v>
      </c>
      <c r="R563" s="258">
        <v>3200</v>
      </c>
      <c r="S563" s="259" t="s">
        <v>848</v>
      </c>
      <c r="T563" s="213" t="s">
        <v>5010</v>
      </c>
      <c r="U563" s="213">
        <v>4</v>
      </c>
      <c r="V563" s="213" t="s">
        <v>3443</v>
      </c>
      <c r="W563" s="213" t="s">
        <v>3572</v>
      </c>
      <c r="X563" s="213" t="s">
        <v>3445</v>
      </c>
      <c r="Y563" s="213" t="s">
        <v>4996</v>
      </c>
      <c r="Z563" s="213" t="s">
        <v>3719</v>
      </c>
      <c r="AA563" s="213">
        <v>100</v>
      </c>
      <c r="AB563" s="213">
        <v>100</v>
      </c>
      <c r="AC563" s="207" t="s">
        <v>4530</v>
      </c>
      <c r="AD563"/>
      <c r="AE563" s="206"/>
      <c r="AF563" s="94"/>
      <c r="AG563" s="94"/>
      <c r="AH563" s="94"/>
      <c r="AI563" s="94"/>
      <c r="AJ563" s="94"/>
      <c r="AK563" s="94"/>
      <c r="AL563" s="94"/>
      <c r="AM563" s="254"/>
      <c r="AN563" s="254"/>
      <c r="AO563" s="94"/>
      <c r="AP563" s="94"/>
      <c r="AQ563" s="94"/>
      <c r="AR563" s="94"/>
      <c r="AS563" s="207"/>
    </row>
    <row r="564" spans="13:45" ht="12.75">
      <c r="M564" s="104"/>
      <c r="O564" s="206" t="s">
        <v>4415</v>
      </c>
      <c r="P564" s="94" t="s">
        <v>2039</v>
      </c>
      <c r="Q564" s="180">
        <v>376806</v>
      </c>
      <c r="R564" s="258">
        <v>4000</v>
      </c>
      <c r="S564" s="259">
        <v>75</v>
      </c>
      <c r="T564" s="213" t="s">
        <v>5010</v>
      </c>
      <c r="U564" s="213">
        <v>4</v>
      </c>
      <c r="V564" s="213" t="s">
        <v>3443</v>
      </c>
      <c r="W564" s="213" t="s">
        <v>3572</v>
      </c>
      <c r="X564" s="213" t="s">
        <v>3441</v>
      </c>
      <c r="Y564" s="213" t="s">
        <v>4995</v>
      </c>
      <c r="Z564" s="213" t="s">
        <v>2871</v>
      </c>
      <c r="AA564" s="213">
        <v>75</v>
      </c>
      <c r="AB564" s="213">
        <v>75</v>
      </c>
      <c r="AC564" s="207" t="s">
        <v>4530</v>
      </c>
      <c r="AD564"/>
      <c r="AE564" s="206"/>
      <c r="AF564" s="94"/>
      <c r="AG564" s="94"/>
      <c r="AH564" s="94"/>
      <c r="AI564" s="94"/>
      <c r="AJ564" s="94"/>
      <c r="AK564" s="94"/>
      <c r="AL564" s="94"/>
      <c r="AM564" s="254"/>
      <c r="AN564" s="254"/>
      <c r="AO564" s="94"/>
      <c r="AP564" s="94"/>
      <c r="AQ564" s="94"/>
      <c r="AR564" s="94"/>
      <c r="AS564" s="207"/>
    </row>
    <row r="565" spans="13:45" ht="12.75">
      <c r="M565" s="104"/>
      <c r="O565" s="206" t="s">
        <v>4416</v>
      </c>
      <c r="P565" s="94" t="s">
        <v>2040</v>
      </c>
      <c r="Q565" s="180">
        <v>389653</v>
      </c>
      <c r="R565" s="258">
        <v>4000</v>
      </c>
      <c r="S565" s="259">
        <v>75</v>
      </c>
      <c r="T565" s="213" t="s">
        <v>5010</v>
      </c>
      <c r="U565" s="213">
        <v>4</v>
      </c>
      <c r="V565" s="213" t="s">
        <v>3443</v>
      </c>
      <c r="W565" s="213" t="s">
        <v>3572</v>
      </c>
      <c r="X565" s="213" t="s">
        <v>3441</v>
      </c>
      <c r="Y565" s="213" t="s">
        <v>4999</v>
      </c>
      <c r="Z565" s="213" t="s">
        <v>2871</v>
      </c>
      <c r="AA565" s="213">
        <v>75</v>
      </c>
      <c r="AB565" s="213">
        <v>75</v>
      </c>
      <c r="AC565" s="207" t="s">
        <v>4530</v>
      </c>
      <c r="AD565"/>
      <c r="AE565" s="206"/>
      <c r="AF565" s="94"/>
      <c r="AG565" s="94"/>
      <c r="AH565" s="94"/>
      <c r="AI565" s="94"/>
      <c r="AJ565" s="94"/>
      <c r="AK565" s="94"/>
      <c r="AL565" s="94"/>
      <c r="AM565" s="254"/>
      <c r="AN565" s="254"/>
      <c r="AO565" s="94"/>
      <c r="AP565" s="94"/>
      <c r="AQ565" s="94"/>
      <c r="AR565" s="94"/>
      <c r="AS565" s="207"/>
    </row>
    <row r="566" spans="13:45" ht="12.75">
      <c r="M566" s="104"/>
      <c r="O566" s="206" t="s">
        <v>4417</v>
      </c>
      <c r="P566" s="94" t="s">
        <v>2041</v>
      </c>
      <c r="Q566" s="180">
        <v>382437</v>
      </c>
      <c r="R566" s="258">
        <v>4000</v>
      </c>
      <c r="S566" s="259">
        <v>75</v>
      </c>
      <c r="T566" s="213" t="s">
        <v>5010</v>
      </c>
      <c r="U566" s="213">
        <v>4</v>
      </c>
      <c r="V566" s="213" t="s">
        <v>3443</v>
      </c>
      <c r="W566" s="213" t="s">
        <v>3572</v>
      </c>
      <c r="X566" s="213" t="s">
        <v>3441</v>
      </c>
      <c r="Y566" s="213" t="s">
        <v>4996</v>
      </c>
      <c r="Z566" s="213" t="s">
        <v>2871</v>
      </c>
      <c r="AA566" s="213">
        <v>75</v>
      </c>
      <c r="AB566" s="213">
        <v>75</v>
      </c>
      <c r="AC566" s="207" t="s">
        <v>4530</v>
      </c>
      <c r="AD566"/>
      <c r="AE566" s="206"/>
      <c r="AF566" s="94"/>
      <c r="AG566" s="94"/>
      <c r="AH566" s="94"/>
      <c r="AI566" s="94"/>
      <c r="AJ566" s="94"/>
      <c r="AK566" s="94"/>
      <c r="AL566" s="94"/>
      <c r="AM566" s="254"/>
      <c r="AN566" s="254"/>
      <c r="AO566" s="94"/>
      <c r="AP566" s="94"/>
      <c r="AQ566" s="94"/>
      <c r="AR566" s="94"/>
      <c r="AS566" s="207"/>
    </row>
    <row r="567" spans="13:45" ht="12.75">
      <c r="M567" s="104"/>
      <c r="O567" s="206" t="s">
        <v>4418</v>
      </c>
      <c r="P567" s="94" t="s">
        <v>2042</v>
      </c>
      <c r="Q567" s="180">
        <v>413862</v>
      </c>
      <c r="R567" s="258">
        <v>4000</v>
      </c>
      <c r="S567" s="259">
        <v>75</v>
      </c>
      <c r="T567" s="213" t="s">
        <v>5010</v>
      </c>
      <c r="U567" s="213">
        <v>4</v>
      </c>
      <c r="V567" s="213" t="s">
        <v>3443</v>
      </c>
      <c r="W567" s="213" t="s">
        <v>3572</v>
      </c>
      <c r="X567" s="213" t="s">
        <v>3445</v>
      </c>
      <c r="Y567" s="213" t="s">
        <v>4999</v>
      </c>
      <c r="Z567" s="213" t="s">
        <v>2871</v>
      </c>
      <c r="AA567" s="213">
        <v>75</v>
      </c>
      <c r="AB567" s="213">
        <v>75</v>
      </c>
      <c r="AC567" s="207" t="s">
        <v>4530</v>
      </c>
      <c r="AD567"/>
      <c r="AE567" s="206"/>
      <c r="AF567" s="94"/>
      <c r="AG567" s="94"/>
      <c r="AH567" s="94"/>
      <c r="AI567" s="94"/>
      <c r="AJ567" s="94"/>
      <c r="AK567" s="94"/>
      <c r="AL567" s="94"/>
      <c r="AM567" s="254"/>
      <c r="AN567" s="254"/>
      <c r="AO567" s="94"/>
      <c r="AP567" s="94"/>
      <c r="AQ567" s="94"/>
      <c r="AR567" s="94"/>
      <c r="AS567" s="207"/>
    </row>
    <row r="568" spans="13:45" ht="12.75">
      <c r="M568" s="104"/>
      <c r="O568" s="206" t="s">
        <v>4419</v>
      </c>
      <c r="P568" s="94" t="s">
        <v>2619</v>
      </c>
      <c r="Q568" s="180">
        <v>406646</v>
      </c>
      <c r="R568" s="258">
        <v>4000</v>
      </c>
      <c r="S568" s="259">
        <v>75</v>
      </c>
      <c r="T568" s="213" t="s">
        <v>5010</v>
      </c>
      <c r="U568" s="213">
        <v>4</v>
      </c>
      <c r="V568" s="213" t="s">
        <v>3443</v>
      </c>
      <c r="W568" s="213" t="s">
        <v>3572</v>
      </c>
      <c r="X568" s="213" t="s">
        <v>3445</v>
      </c>
      <c r="Y568" s="213" t="s">
        <v>4996</v>
      </c>
      <c r="Z568" s="213" t="s">
        <v>2871</v>
      </c>
      <c r="AA568" s="213">
        <v>75</v>
      </c>
      <c r="AB568" s="213">
        <v>75</v>
      </c>
      <c r="AC568" s="207" t="s">
        <v>4530</v>
      </c>
      <c r="AD568"/>
      <c r="AE568" s="206"/>
      <c r="AF568" s="94"/>
      <c r="AG568" s="94"/>
      <c r="AH568" s="94"/>
      <c r="AI568" s="94"/>
      <c r="AJ568" s="94"/>
      <c r="AK568" s="94"/>
      <c r="AL568" s="94"/>
      <c r="AM568" s="254"/>
      <c r="AN568" s="254"/>
      <c r="AO568" s="94"/>
      <c r="AP568" s="94"/>
      <c r="AQ568" s="94"/>
      <c r="AR568" s="94"/>
      <c r="AS568" s="207"/>
    </row>
    <row r="569" spans="13:45" ht="12.75">
      <c r="M569" s="104"/>
      <c r="O569" s="206" t="s">
        <v>4420</v>
      </c>
      <c r="P569" s="94" t="s">
        <v>2620</v>
      </c>
      <c r="Q569" s="180">
        <v>412175</v>
      </c>
      <c r="R569" s="258">
        <v>4000</v>
      </c>
      <c r="S569" s="259">
        <v>100</v>
      </c>
      <c r="T569" s="213" t="s">
        <v>5010</v>
      </c>
      <c r="U569" s="213">
        <v>4</v>
      </c>
      <c r="V569" s="213" t="s">
        <v>3443</v>
      </c>
      <c r="W569" s="213" t="s">
        <v>3572</v>
      </c>
      <c r="X569" s="213" t="s">
        <v>3441</v>
      </c>
      <c r="Y569" s="213" t="s">
        <v>4995</v>
      </c>
      <c r="Z569" s="213" t="s">
        <v>3719</v>
      </c>
      <c r="AA569" s="213">
        <v>100</v>
      </c>
      <c r="AB569" s="213">
        <v>100</v>
      </c>
      <c r="AC569" s="207" t="s">
        <v>4530</v>
      </c>
      <c r="AD569"/>
      <c r="AE569" s="206"/>
      <c r="AF569" s="94"/>
      <c r="AG569" s="94"/>
      <c r="AH569" s="94"/>
      <c r="AI569" s="94"/>
      <c r="AJ569" s="94"/>
      <c r="AK569" s="94"/>
      <c r="AL569" s="94"/>
      <c r="AM569" s="254"/>
      <c r="AN569" s="254"/>
      <c r="AO569" s="94"/>
      <c r="AP569" s="94"/>
      <c r="AQ569" s="94"/>
      <c r="AR569" s="94"/>
      <c r="AS569" s="207"/>
    </row>
    <row r="570" spans="13:45" ht="12.75">
      <c r="M570" s="104"/>
      <c r="O570" s="206" t="s">
        <v>4421</v>
      </c>
      <c r="P570" s="94" t="s">
        <v>2621</v>
      </c>
      <c r="Q570" s="180">
        <v>425022</v>
      </c>
      <c r="R570" s="258">
        <v>4000</v>
      </c>
      <c r="S570" s="259">
        <v>100</v>
      </c>
      <c r="T570" s="213" t="s">
        <v>5010</v>
      </c>
      <c r="U570" s="213">
        <v>4</v>
      </c>
      <c r="V570" s="213" t="s">
        <v>3443</v>
      </c>
      <c r="W570" s="213" t="s">
        <v>3572</v>
      </c>
      <c r="X570" s="213" t="s">
        <v>3441</v>
      </c>
      <c r="Y570" s="213" t="s">
        <v>4999</v>
      </c>
      <c r="Z570" s="213" t="s">
        <v>3719</v>
      </c>
      <c r="AA570" s="213">
        <v>100</v>
      </c>
      <c r="AB570" s="213">
        <v>100</v>
      </c>
      <c r="AC570" s="207" t="s">
        <v>4530</v>
      </c>
      <c r="AD570"/>
      <c r="AE570" s="206"/>
      <c r="AF570" s="94"/>
      <c r="AG570" s="94"/>
      <c r="AH570" s="94"/>
      <c r="AI570" s="94"/>
      <c r="AJ570" s="94"/>
      <c r="AK570" s="94"/>
      <c r="AL570" s="94"/>
      <c r="AM570" s="254"/>
      <c r="AN570" s="254"/>
      <c r="AO570" s="94"/>
      <c r="AP570" s="94"/>
      <c r="AQ570" s="94"/>
      <c r="AR570" s="94"/>
      <c r="AS570" s="207"/>
    </row>
    <row r="571" spans="13:45" ht="12.75">
      <c r="M571" s="104"/>
      <c r="O571" s="206" t="s">
        <v>4422</v>
      </c>
      <c r="P571" s="94" t="s">
        <v>2622</v>
      </c>
      <c r="Q571" s="180">
        <v>417806</v>
      </c>
      <c r="R571" s="258">
        <v>4000</v>
      </c>
      <c r="S571" s="259">
        <v>100</v>
      </c>
      <c r="T571" s="213" t="s">
        <v>5010</v>
      </c>
      <c r="U571" s="213">
        <v>4</v>
      </c>
      <c r="V571" s="213" t="s">
        <v>3443</v>
      </c>
      <c r="W571" s="213" t="s">
        <v>3572</v>
      </c>
      <c r="X571" s="213" t="s">
        <v>3441</v>
      </c>
      <c r="Y571" s="213" t="s">
        <v>4996</v>
      </c>
      <c r="Z571" s="213" t="s">
        <v>3719</v>
      </c>
      <c r="AA571" s="213">
        <v>100</v>
      </c>
      <c r="AB571" s="213">
        <v>100</v>
      </c>
      <c r="AC571" s="207" t="s">
        <v>4530</v>
      </c>
      <c r="AD571"/>
      <c r="AE571" s="206"/>
      <c r="AF571" s="94"/>
      <c r="AG571" s="94"/>
      <c r="AH571" s="94"/>
      <c r="AI571" s="94"/>
      <c r="AJ571" s="94"/>
      <c r="AK571" s="94"/>
      <c r="AL571" s="94"/>
      <c r="AM571" s="254"/>
      <c r="AN571" s="254"/>
      <c r="AO571" s="94"/>
      <c r="AP571" s="94"/>
      <c r="AQ571" s="94"/>
      <c r="AR571" s="94"/>
      <c r="AS571" s="207"/>
    </row>
    <row r="572" spans="13:45" ht="12.75">
      <c r="M572" s="104"/>
      <c r="O572" s="206" t="s">
        <v>4423</v>
      </c>
      <c r="P572" s="94" t="s">
        <v>1403</v>
      </c>
      <c r="Q572" s="180">
        <v>449231</v>
      </c>
      <c r="R572" s="258">
        <v>4000</v>
      </c>
      <c r="S572" s="259">
        <v>100</v>
      </c>
      <c r="T572" s="213" t="s">
        <v>5010</v>
      </c>
      <c r="U572" s="213">
        <v>4</v>
      </c>
      <c r="V572" s="213" t="s">
        <v>3443</v>
      </c>
      <c r="W572" s="213" t="s">
        <v>3572</v>
      </c>
      <c r="X572" s="213" t="s">
        <v>3445</v>
      </c>
      <c r="Y572" s="213" t="s">
        <v>4999</v>
      </c>
      <c r="Z572" s="213" t="s">
        <v>3719</v>
      </c>
      <c r="AA572" s="213">
        <v>100</v>
      </c>
      <c r="AB572" s="213">
        <v>100</v>
      </c>
      <c r="AC572" s="207" t="s">
        <v>4530</v>
      </c>
      <c r="AD572"/>
      <c r="AE572" s="206"/>
      <c r="AF572" s="94"/>
      <c r="AG572" s="94"/>
      <c r="AH572" s="94"/>
      <c r="AI572" s="94"/>
      <c r="AJ572" s="94"/>
      <c r="AK572" s="94"/>
      <c r="AL572" s="94"/>
      <c r="AM572" s="254"/>
      <c r="AN572" s="254"/>
      <c r="AO572" s="94"/>
      <c r="AP572" s="94"/>
      <c r="AQ572" s="94"/>
      <c r="AR572" s="94"/>
      <c r="AS572" s="207"/>
    </row>
    <row r="573" spans="13:45" ht="12.75">
      <c r="M573" s="104"/>
      <c r="O573" s="206" t="s">
        <v>4424</v>
      </c>
      <c r="P573" s="94" t="s">
        <v>1404</v>
      </c>
      <c r="Q573" s="180">
        <v>442015</v>
      </c>
      <c r="R573" s="258">
        <v>4000</v>
      </c>
      <c r="S573" s="259">
        <v>100</v>
      </c>
      <c r="T573" s="213" t="s">
        <v>5010</v>
      </c>
      <c r="U573" s="213">
        <v>4</v>
      </c>
      <c r="V573" s="213" t="s">
        <v>3443</v>
      </c>
      <c r="W573" s="213" t="s">
        <v>3572</v>
      </c>
      <c r="X573" s="213" t="s">
        <v>3445</v>
      </c>
      <c r="Y573" s="213" t="s">
        <v>4996</v>
      </c>
      <c r="Z573" s="213" t="s">
        <v>3719</v>
      </c>
      <c r="AA573" s="213">
        <v>100</v>
      </c>
      <c r="AB573" s="213">
        <v>100</v>
      </c>
      <c r="AC573" s="207" t="s">
        <v>4530</v>
      </c>
      <c r="AD573"/>
      <c r="AE573" s="206"/>
      <c r="AF573" s="94"/>
      <c r="AG573" s="94"/>
      <c r="AH573" s="94"/>
      <c r="AI573" s="94"/>
      <c r="AJ573" s="94"/>
      <c r="AK573" s="94"/>
      <c r="AL573" s="94"/>
      <c r="AM573" s="254"/>
      <c r="AN573" s="254"/>
      <c r="AO573" s="94"/>
      <c r="AP573" s="94"/>
      <c r="AQ573" s="94"/>
      <c r="AR573" s="94"/>
      <c r="AS573" s="207"/>
    </row>
    <row r="574" spans="13:45" ht="12.75">
      <c r="M574" s="104"/>
      <c r="O574" s="206" t="s">
        <v>4426</v>
      </c>
      <c r="P574" s="94" t="s">
        <v>1407</v>
      </c>
      <c r="Q574" s="180">
        <v>521698</v>
      </c>
      <c r="R574" s="258">
        <v>3200</v>
      </c>
      <c r="S574" s="259">
        <v>150</v>
      </c>
      <c r="T574" s="213" t="s">
        <v>5012</v>
      </c>
      <c r="U574" s="213">
        <v>3</v>
      </c>
      <c r="V574" s="213" t="s">
        <v>3439</v>
      </c>
      <c r="W574" s="213" t="s">
        <v>3361</v>
      </c>
      <c r="X574" s="213" t="s">
        <v>3441</v>
      </c>
      <c r="Y574" s="213" t="s">
        <v>4995</v>
      </c>
      <c r="Z574" s="213" t="s">
        <v>1406</v>
      </c>
      <c r="AA574" s="213">
        <v>100</v>
      </c>
      <c r="AB574" s="213">
        <v>125</v>
      </c>
      <c r="AC574" s="207" t="s">
        <v>4530</v>
      </c>
      <c r="AD574"/>
      <c r="AE574" s="206"/>
      <c r="AF574" s="94"/>
      <c r="AG574" s="94"/>
      <c r="AH574" s="94"/>
      <c r="AI574" s="94"/>
      <c r="AJ574" s="94"/>
      <c r="AK574" s="94"/>
      <c r="AL574" s="94"/>
      <c r="AM574" s="254"/>
      <c r="AN574" s="254"/>
      <c r="AO574" s="94"/>
      <c r="AP574" s="94"/>
      <c r="AQ574" s="94"/>
      <c r="AR574" s="94"/>
      <c r="AS574" s="207"/>
    </row>
    <row r="575" spans="13:45" ht="12.75">
      <c r="M575" s="104"/>
      <c r="O575" s="206" t="s">
        <v>4429</v>
      </c>
      <c r="P575" s="94" t="s">
        <v>1410</v>
      </c>
      <c r="Q575" s="180">
        <v>534546</v>
      </c>
      <c r="R575" s="258">
        <v>3200</v>
      </c>
      <c r="S575" s="259">
        <v>150</v>
      </c>
      <c r="T575" s="213" t="s">
        <v>5012</v>
      </c>
      <c r="U575" s="213">
        <v>3</v>
      </c>
      <c r="V575" s="213" t="s">
        <v>3439</v>
      </c>
      <c r="W575" s="213" t="s">
        <v>3361</v>
      </c>
      <c r="X575" s="213" t="s">
        <v>3441</v>
      </c>
      <c r="Y575" s="213" t="s">
        <v>4999</v>
      </c>
      <c r="Z575" s="213" t="s">
        <v>1406</v>
      </c>
      <c r="AA575" s="213">
        <v>100</v>
      </c>
      <c r="AB575" s="213">
        <v>125</v>
      </c>
      <c r="AC575" s="207" t="s">
        <v>4530</v>
      </c>
      <c r="AD575"/>
      <c r="AE575" s="206"/>
      <c r="AF575" s="94"/>
      <c r="AG575" s="94"/>
      <c r="AH575" s="94"/>
      <c r="AI575" s="94"/>
      <c r="AJ575" s="94"/>
      <c r="AK575" s="94"/>
      <c r="AL575" s="94"/>
      <c r="AM575" s="254"/>
      <c r="AN575" s="254"/>
      <c r="AO575" s="94"/>
      <c r="AP575" s="94"/>
      <c r="AQ575" s="94"/>
      <c r="AR575" s="94"/>
      <c r="AS575" s="207"/>
    </row>
    <row r="576" spans="13:45" ht="12.75">
      <c r="M576" s="104"/>
      <c r="O576" s="206" t="s">
        <v>4432</v>
      </c>
      <c r="P576" s="94" t="s">
        <v>1413</v>
      </c>
      <c r="Q576" s="180">
        <v>527328</v>
      </c>
      <c r="R576" s="258">
        <v>3200</v>
      </c>
      <c r="S576" s="259">
        <v>150</v>
      </c>
      <c r="T576" s="213" t="s">
        <v>5012</v>
      </c>
      <c r="U576" s="213">
        <v>3</v>
      </c>
      <c r="V576" s="213" t="s">
        <v>3439</v>
      </c>
      <c r="W576" s="213" t="s">
        <v>3361</v>
      </c>
      <c r="X576" s="213" t="s">
        <v>3441</v>
      </c>
      <c r="Y576" s="213" t="s">
        <v>4996</v>
      </c>
      <c r="Z576" s="213" t="s">
        <v>1406</v>
      </c>
      <c r="AA576" s="213">
        <v>100</v>
      </c>
      <c r="AB576" s="213">
        <v>125</v>
      </c>
      <c r="AC576" s="207" t="s">
        <v>4530</v>
      </c>
      <c r="AD576"/>
      <c r="AE576" s="206"/>
      <c r="AF576" s="94"/>
      <c r="AG576" s="94"/>
      <c r="AH576" s="94"/>
      <c r="AI576" s="94"/>
      <c r="AJ576" s="94"/>
      <c r="AK576" s="94"/>
      <c r="AL576" s="94"/>
      <c r="AM576" s="254"/>
      <c r="AN576" s="254"/>
      <c r="AO576" s="94"/>
      <c r="AP576" s="94"/>
      <c r="AQ576" s="94"/>
      <c r="AR576" s="94"/>
      <c r="AS576" s="207"/>
    </row>
    <row r="577" spans="13:45" ht="12.75">
      <c r="M577" s="104"/>
      <c r="O577" s="206" t="s">
        <v>4435</v>
      </c>
      <c r="P577" s="94" t="s">
        <v>4893</v>
      </c>
      <c r="Q577" s="180">
        <v>558755</v>
      </c>
      <c r="R577" s="258">
        <v>3200</v>
      </c>
      <c r="S577" s="259">
        <v>150</v>
      </c>
      <c r="T577" s="213" t="s">
        <v>5012</v>
      </c>
      <c r="U577" s="213">
        <v>3</v>
      </c>
      <c r="V577" s="213" t="s">
        <v>3439</v>
      </c>
      <c r="W577" s="213" t="s">
        <v>3361</v>
      </c>
      <c r="X577" s="213" t="s">
        <v>3445</v>
      </c>
      <c r="Y577" s="213" t="s">
        <v>4999</v>
      </c>
      <c r="Z577" s="213" t="s">
        <v>1406</v>
      </c>
      <c r="AA577" s="213">
        <v>100</v>
      </c>
      <c r="AB577" s="213">
        <v>125</v>
      </c>
      <c r="AC577" s="207" t="s">
        <v>4530</v>
      </c>
      <c r="AD577"/>
      <c r="AE577" s="206"/>
      <c r="AF577" s="94"/>
      <c r="AG577" s="94"/>
      <c r="AH577" s="94"/>
      <c r="AI577" s="94"/>
      <c r="AJ577" s="94"/>
      <c r="AK577" s="94"/>
      <c r="AL577" s="94"/>
      <c r="AM577" s="254"/>
      <c r="AN577" s="254"/>
      <c r="AO577" s="94"/>
      <c r="AP577" s="94"/>
      <c r="AQ577" s="94"/>
      <c r="AR577" s="94"/>
      <c r="AS577" s="207"/>
    </row>
    <row r="578" spans="13:45" ht="12.75">
      <c r="M578" s="104"/>
      <c r="O578" s="206" t="s">
        <v>4438</v>
      </c>
      <c r="P578" s="94" t="s">
        <v>4896</v>
      </c>
      <c r="Q578" s="180">
        <v>551538</v>
      </c>
      <c r="R578" s="258">
        <v>3200</v>
      </c>
      <c r="S578" s="259">
        <v>150</v>
      </c>
      <c r="T578" s="213" t="s">
        <v>5012</v>
      </c>
      <c r="U578" s="213">
        <v>3</v>
      </c>
      <c r="V578" s="213" t="s">
        <v>3439</v>
      </c>
      <c r="W578" s="213" t="s">
        <v>3361</v>
      </c>
      <c r="X578" s="213" t="s">
        <v>3445</v>
      </c>
      <c r="Y578" s="213" t="s">
        <v>4996</v>
      </c>
      <c r="Z578" s="213" t="s">
        <v>1406</v>
      </c>
      <c r="AA578" s="213">
        <v>100</v>
      </c>
      <c r="AB578" s="213">
        <v>125</v>
      </c>
      <c r="AC578" s="207" t="s">
        <v>4530</v>
      </c>
      <c r="AD578"/>
      <c r="AE578" s="206"/>
      <c r="AF578" s="94"/>
      <c r="AG578" s="94"/>
      <c r="AH578" s="94"/>
      <c r="AI578" s="94"/>
      <c r="AJ578" s="94"/>
      <c r="AK578" s="94"/>
      <c r="AL578" s="94"/>
      <c r="AM578" s="254"/>
      <c r="AN578" s="254"/>
      <c r="AO578" s="94"/>
      <c r="AP578" s="94"/>
      <c r="AQ578" s="94"/>
      <c r="AR578" s="94"/>
      <c r="AS578" s="207"/>
    </row>
    <row r="579" spans="13:45" ht="12.75">
      <c r="M579" s="104"/>
      <c r="O579" s="206" t="s">
        <v>4441</v>
      </c>
      <c r="P579" s="94" t="s">
        <v>4174</v>
      </c>
      <c r="Q579" s="180">
        <v>549156</v>
      </c>
      <c r="R579" s="258">
        <v>4000</v>
      </c>
      <c r="S579" s="259">
        <v>150</v>
      </c>
      <c r="T579" s="213" t="s">
        <v>5012</v>
      </c>
      <c r="U579" s="213">
        <v>3</v>
      </c>
      <c r="V579" s="213" t="s">
        <v>3439</v>
      </c>
      <c r="W579" s="213" t="s">
        <v>3361</v>
      </c>
      <c r="X579" s="213" t="s">
        <v>3441</v>
      </c>
      <c r="Y579" s="213" t="s">
        <v>4995</v>
      </c>
      <c r="Z579" s="213" t="s">
        <v>1406</v>
      </c>
      <c r="AA579" s="213">
        <v>100</v>
      </c>
      <c r="AB579" s="213">
        <v>125</v>
      </c>
      <c r="AC579" s="207" t="s">
        <v>4530</v>
      </c>
      <c r="AD579"/>
      <c r="AE579" s="206"/>
      <c r="AF579" s="94"/>
      <c r="AG579" s="94"/>
      <c r="AH579" s="94"/>
      <c r="AI579" s="94"/>
      <c r="AJ579" s="94"/>
      <c r="AK579" s="94"/>
      <c r="AL579" s="94"/>
      <c r="AM579" s="254"/>
      <c r="AN579" s="254"/>
      <c r="AO579" s="94"/>
      <c r="AP579" s="94"/>
      <c r="AQ579" s="94"/>
      <c r="AR579" s="94"/>
      <c r="AS579" s="207"/>
    </row>
    <row r="580" spans="13:45" ht="12.75">
      <c r="M580" s="104"/>
      <c r="O580" s="206" t="s">
        <v>4444</v>
      </c>
      <c r="P580" s="94" t="s">
        <v>4177</v>
      </c>
      <c r="Q580" s="180">
        <v>562003</v>
      </c>
      <c r="R580" s="258">
        <v>4000</v>
      </c>
      <c r="S580" s="259">
        <v>150</v>
      </c>
      <c r="T580" s="213" t="s">
        <v>5012</v>
      </c>
      <c r="U580" s="213">
        <v>3</v>
      </c>
      <c r="V580" s="213" t="s">
        <v>3439</v>
      </c>
      <c r="W580" s="213" t="s">
        <v>3361</v>
      </c>
      <c r="X580" s="213" t="s">
        <v>3441</v>
      </c>
      <c r="Y580" s="213" t="s">
        <v>4999</v>
      </c>
      <c r="Z580" s="213" t="s">
        <v>1406</v>
      </c>
      <c r="AA580" s="213">
        <v>100</v>
      </c>
      <c r="AB580" s="213">
        <v>125</v>
      </c>
      <c r="AC580" s="207" t="s">
        <v>4530</v>
      </c>
      <c r="AD580"/>
      <c r="AE580" s="206"/>
      <c r="AF580" s="94"/>
      <c r="AG580" s="94"/>
      <c r="AH580" s="94"/>
      <c r="AI580" s="94"/>
      <c r="AJ580" s="94"/>
      <c r="AK580" s="94"/>
      <c r="AL580" s="94"/>
      <c r="AM580" s="254"/>
      <c r="AN580" s="254"/>
      <c r="AO580" s="94"/>
      <c r="AP580" s="94"/>
      <c r="AQ580" s="94"/>
      <c r="AR580" s="94"/>
      <c r="AS580" s="207"/>
    </row>
    <row r="581" spans="13:45" ht="12.75">
      <c r="M581" s="104"/>
      <c r="O581" s="206" t="s">
        <v>4447</v>
      </c>
      <c r="P581" s="94" t="s">
        <v>3522</v>
      </c>
      <c r="Q581" s="180">
        <v>554786</v>
      </c>
      <c r="R581" s="258">
        <v>4000</v>
      </c>
      <c r="S581" s="259">
        <v>150</v>
      </c>
      <c r="T581" s="213" t="s">
        <v>5012</v>
      </c>
      <c r="U581" s="213">
        <v>3</v>
      </c>
      <c r="V581" s="213" t="s">
        <v>3439</v>
      </c>
      <c r="W581" s="213" t="s">
        <v>3361</v>
      </c>
      <c r="X581" s="213" t="s">
        <v>3441</v>
      </c>
      <c r="Y581" s="213" t="s">
        <v>4996</v>
      </c>
      <c r="Z581" s="213" t="s">
        <v>1406</v>
      </c>
      <c r="AA581" s="213">
        <v>100</v>
      </c>
      <c r="AB581" s="213">
        <v>125</v>
      </c>
      <c r="AC581" s="207" t="s">
        <v>4530</v>
      </c>
      <c r="AD581"/>
      <c r="AE581" s="206"/>
      <c r="AF581" s="94"/>
      <c r="AG581" s="94"/>
      <c r="AH581" s="94"/>
      <c r="AI581" s="94"/>
      <c r="AJ581" s="94"/>
      <c r="AK581" s="94"/>
      <c r="AL581" s="94"/>
      <c r="AM581" s="254"/>
      <c r="AN581" s="254"/>
      <c r="AO581" s="94"/>
      <c r="AP581" s="94"/>
      <c r="AQ581" s="94"/>
      <c r="AR581" s="94"/>
      <c r="AS581" s="207"/>
    </row>
    <row r="582" spans="13:45" ht="12.75">
      <c r="M582" s="104"/>
      <c r="O582" s="206" t="s">
        <v>4450</v>
      </c>
      <c r="P582" s="94" t="s">
        <v>3525</v>
      </c>
      <c r="Q582" s="180">
        <v>586213</v>
      </c>
      <c r="R582" s="258">
        <v>4000</v>
      </c>
      <c r="S582" s="259">
        <v>150</v>
      </c>
      <c r="T582" s="213" t="s">
        <v>5012</v>
      </c>
      <c r="U582" s="213">
        <v>3</v>
      </c>
      <c r="V582" s="213" t="s">
        <v>3439</v>
      </c>
      <c r="W582" s="213" t="s">
        <v>3361</v>
      </c>
      <c r="X582" s="213" t="s">
        <v>3445</v>
      </c>
      <c r="Y582" s="213" t="s">
        <v>4999</v>
      </c>
      <c r="Z582" s="213" t="s">
        <v>1406</v>
      </c>
      <c r="AA582" s="213">
        <v>100</v>
      </c>
      <c r="AB582" s="213">
        <v>125</v>
      </c>
      <c r="AC582" s="207" t="s">
        <v>4530</v>
      </c>
      <c r="AD582"/>
      <c r="AE582" s="206"/>
      <c r="AF582" s="94"/>
      <c r="AG582" s="94"/>
      <c r="AH582" s="94"/>
      <c r="AI582" s="94"/>
      <c r="AJ582" s="94"/>
      <c r="AK582" s="94"/>
      <c r="AL582" s="94"/>
      <c r="AM582" s="254"/>
      <c r="AN582" s="254"/>
      <c r="AO582" s="94"/>
      <c r="AP582" s="94"/>
      <c r="AQ582" s="94"/>
      <c r="AR582" s="94"/>
      <c r="AS582" s="207"/>
    </row>
    <row r="583" spans="13:45" ht="12.75">
      <c r="M583" s="104"/>
      <c r="O583" s="206" t="s">
        <v>4453</v>
      </c>
      <c r="P583" s="94" t="s">
        <v>3528</v>
      </c>
      <c r="Q583" s="180">
        <v>578994</v>
      </c>
      <c r="R583" s="258">
        <v>4000</v>
      </c>
      <c r="S583" s="259">
        <v>150</v>
      </c>
      <c r="T583" s="213" t="s">
        <v>5012</v>
      </c>
      <c r="U583" s="213">
        <v>3</v>
      </c>
      <c r="V583" s="213" t="s">
        <v>3439</v>
      </c>
      <c r="W583" s="213" t="s">
        <v>3361</v>
      </c>
      <c r="X583" s="213" t="s">
        <v>3445</v>
      </c>
      <c r="Y583" s="213" t="s">
        <v>4996</v>
      </c>
      <c r="Z583" s="213" t="s">
        <v>1406</v>
      </c>
      <c r="AA583" s="213">
        <v>100</v>
      </c>
      <c r="AB583" s="213">
        <v>125</v>
      </c>
      <c r="AC583" s="207" t="s">
        <v>4530</v>
      </c>
      <c r="AD583"/>
      <c r="AE583" s="206"/>
      <c r="AF583" s="94"/>
      <c r="AG583" s="94"/>
      <c r="AH583" s="94"/>
      <c r="AI583" s="94"/>
      <c r="AJ583" s="94"/>
      <c r="AK583" s="94"/>
      <c r="AL583" s="94"/>
      <c r="AM583" s="254"/>
      <c r="AN583" s="254"/>
      <c r="AO583" s="94"/>
      <c r="AP583" s="94"/>
      <c r="AQ583" s="94"/>
      <c r="AR583" s="94"/>
      <c r="AS583" s="207"/>
    </row>
    <row r="584" spans="13:45" ht="12.75">
      <c r="M584" s="104"/>
      <c r="O584" s="206" t="s">
        <v>4456</v>
      </c>
      <c r="P584" s="94" t="s">
        <v>3532</v>
      </c>
      <c r="Q584" s="180">
        <v>478212</v>
      </c>
      <c r="R584" s="258">
        <v>5000</v>
      </c>
      <c r="S584" s="259">
        <v>100</v>
      </c>
      <c r="T584" s="213" t="s">
        <v>5012</v>
      </c>
      <c r="U584" s="213">
        <v>3</v>
      </c>
      <c r="V584" s="213" t="s">
        <v>3439</v>
      </c>
      <c r="W584" s="213" t="s">
        <v>3361</v>
      </c>
      <c r="X584" s="213" t="s">
        <v>3441</v>
      </c>
      <c r="Y584" s="213" t="s">
        <v>4995</v>
      </c>
      <c r="Z584" s="213" t="s">
        <v>3531</v>
      </c>
      <c r="AA584" s="213">
        <v>100</v>
      </c>
      <c r="AB584" s="213">
        <v>100</v>
      </c>
      <c r="AC584" s="207" t="s">
        <v>4530</v>
      </c>
      <c r="AD584"/>
      <c r="AE584" s="206"/>
      <c r="AF584" s="94"/>
      <c r="AG584" s="94"/>
      <c r="AH584" s="94"/>
      <c r="AI584" s="94"/>
      <c r="AJ584" s="94"/>
      <c r="AK584" s="94"/>
      <c r="AL584" s="94"/>
      <c r="AM584" s="254"/>
      <c r="AN584" s="254"/>
      <c r="AO584" s="94"/>
      <c r="AP584" s="94"/>
      <c r="AQ584" s="94"/>
      <c r="AR584" s="94"/>
      <c r="AS584" s="207"/>
    </row>
    <row r="585" spans="13:45" ht="12.75">
      <c r="M585" s="104"/>
      <c r="O585" s="206" t="s">
        <v>4459</v>
      </c>
      <c r="P585" s="94" t="s">
        <v>3873</v>
      </c>
      <c r="Q585" s="180">
        <v>491060</v>
      </c>
      <c r="R585" s="258">
        <v>5000</v>
      </c>
      <c r="S585" s="259">
        <v>100</v>
      </c>
      <c r="T585" s="213" t="s">
        <v>5012</v>
      </c>
      <c r="U585" s="213">
        <v>3</v>
      </c>
      <c r="V585" s="213" t="s">
        <v>3439</v>
      </c>
      <c r="W585" s="213" t="s">
        <v>3361</v>
      </c>
      <c r="X585" s="213" t="s">
        <v>3441</v>
      </c>
      <c r="Y585" s="213" t="s">
        <v>4999</v>
      </c>
      <c r="Z585" s="213" t="s">
        <v>3531</v>
      </c>
      <c r="AA585" s="213">
        <v>100</v>
      </c>
      <c r="AB585" s="213">
        <v>100</v>
      </c>
      <c r="AC585" s="207" t="s">
        <v>4530</v>
      </c>
      <c r="AD585"/>
      <c r="AE585" s="206"/>
      <c r="AF585" s="94"/>
      <c r="AG585" s="94"/>
      <c r="AH585" s="94"/>
      <c r="AI585" s="94"/>
      <c r="AJ585" s="94"/>
      <c r="AK585" s="94"/>
      <c r="AL585" s="94"/>
      <c r="AM585" s="254"/>
      <c r="AN585" s="254"/>
      <c r="AO585" s="94"/>
      <c r="AP585" s="94"/>
      <c r="AQ585" s="94"/>
      <c r="AR585" s="94"/>
      <c r="AS585" s="207"/>
    </row>
    <row r="586" spans="13:45" ht="12.75">
      <c r="M586" s="104"/>
      <c r="O586" s="206" t="s">
        <v>4462</v>
      </c>
      <c r="P586" s="94" t="s">
        <v>3876</v>
      </c>
      <c r="Q586" s="180">
        <v>483841</v>
      </c>
      <c r="R586" s="258">
        <v>5000</v>
      </c>
      <c r="S586" s="259">
        <v>100</v>
      </c>
      <c r="T586" s="213" t="s">
        <v>5012</v>
      </c>
      <c r="U586" s="213">
        <v>3</v>
      </c>
      <c r="V586" s="213" t="s">
        <v>3439</v>
      </c>
      <c r="W586" s="213" t="s">
        <v>3361</v>
      </c>
      <c r="X586" s="213" t="s">
        <v>3441</v>
      </c>
      <c r="Y586" s="213" t="s">
        <v>4996</v>
      </c>
      <c r="Z586" s="213" t="s">
        <v>3531</v>
      </c>
      <c r="AA586" s="213">
        <v>100</v>
      </c>
      <c r="AB586" s="213">
        <v>100</v>
      </c>
      <c r="AC586" s="207" t="s">
        <v>4530</v>
      </c>
      <c r="AD586"/>
      <c r="AE586" s="206"/>
      <c r="AF586" s="94"/>
      <c r="AG586" s="94"/>
      <c r="AH586" s="94"/>
      <c r="AI586" s="94"/>
      <c r="AJ586" s="94"/>
      <c r="AK586" s="94"/>
      <c r="AL586" s="94"/>
      <c r="AM586" s="254"/>
      <c r="AN586" s="254"/>
      <c r="AO586" s="94"/>
      <c r="AP586" s="94"/>
      <c r="AQ586" s="94"/>
      <c r="AR586" s="94"/>
      <c r="AS586" s="207"/>
    </row>
    <row r="587" spans="13:45" ht="12.75">
      <c r="M587" s="104"/>
      <c r="O587" s="206" t="s">
        <v>4465</v>
      </c>
      <c r="P587" s="94" t="s">
        <v>3879</v>
      </c>
      <c r="Q587" s="180">
        <v>515269</v>
      </c>
      <c r="R587" s="258">
        <v>5000</v>
      </c>
      <c r="S587" s="259">
        <v>100</v>
      </c>
      <c r="T587" s="213" t="s">
        <v>5012</v>
      </c>
      <c r="U587" s="213">
        <v>3</v>
      </c>
      <c r="V587" s="213" t="s">
        <v>3439</v>
      </c>
      <c r="W587" s="213" t="s">
        <v>3361</v>
      </c>
      <c r="X587" s="213" t="s">
        <v>3445</v>
      </c>
      <c r="Y587" s="213" t="s">
        <v>4999</v>
      </c>
      <c r="Z587" s="213" t="s">
        <v>3531</v>
      </c>
      <c r="AA587" s="213">
        <v>100</v>
      </c>
      <c r="AB587" s="213">
        <v>100</v>
      </c>
      <c r="AC587" s="207" t="s">
        <v>4530</v>
      </c>
      <c r="AD587"/>
      <c r="AE587" s="206"/>
      <c r="AF587" s="94"/>
      <c r="AG587" s="94"/>
      <c r="AH587" s="94"/>
      <c r="AI587" s="94"/>
      <c r="AJ587" s="94"/>
      <c r="AK587" s="94"/>
      <c r="AL587" s="94"/>
      <c r="AM587" s="254"/>
      <c r="AN587" s="254"/>
      <c r="AO587" s="94"/>
      <c r="AP587" s="94"/>
      <c r="AQ587" s="94"/>
      <c r="AR587" s="94"/>
      <c r="AS587" s="207"/>
    </row>
    <row r="588" spans="13:45" ht="12.75">
      <c r="M588" s="104"/>
      <c r="O588" s="206" t="s">
        <v>4468</v>
      </c>
      <c r="P588" s="94" t="s">
        <v>3573</v>
      </c>
      <c r="Q588" s="180">
        <v>508051</v>
      </c>
      <c r="R588" s="258">
        <v>5000</v>
      </c>
      <c r="S588" s="259">
        <v>100</v>
      </c>
      <c r="T588" s="213" t="s">
        <v>5012</v>
      </c>
      <c r="U588" s="213">
        <v>3</v>
      </c>
      <c r="V588" s="213" t="s">
        <v>3439</v>
      </c>
      <c r="W588" s="213" t="s">
        <v>3361</v>
      </c>
      <c r="X588" s="213" t="s">
        <v>3445</v>
      </c>
      <c r="Y588" s="213" t="s">
        <v>4996</v>
      </c>
      <c r="Z588" s="213" t="s">
        <v>3531</v>
      </c>
      <c r="AA588" s="213">
        <v>100</v>
      </c>
      <c r="AB588" s="213">
        <v>100</v>
      </c>
      <c r="AC588" s="207" t="s">
        <v>4530</v>
      </c>
      <c r="AD588"/>
      <c r="AE588" s="206"/>
      <c r="AF588" s="94"/>
      <c r="AG588" s="94"/>
      <c r="AH588" s="94"/>
      <c r="AI588" s="94"/>
      <c r="AJ588" s="94"/>
      <c r="AK588" s="94"/>
      <c r="AL588" s="94"/>
      <c r="AM588" s="254"/>
      <c r="AN588" s="254"/>
      <c r="AO588" s="94"/>
      <c r="AP588" s="94"/>
      <c r="AQ588" s="94"/>
      <c r="AR588" s="94"/>
      <c r="AS588" s="207"/>
    </row>
    <row r="589" spans="13:45" ht="12.75">
      <c r="M589" s="104"/>
      <c r="O589" s="206" t="s">
        <v>4471</v>
      </c>
      <c r="P589" s="94" t="s">
        <v>3576</v>
      </c>
      <c r="Q589" s="180">
        <v>578058</v>
      </c>
      <c r="R589" s="258">
        <v>5000</v>
      </c>
      <c r="S589" s="259">
        <v>150</v>
      </c>
      <c r="T589" s="213" t="s">
        <v>5012</v>
      </c>
      <c r="U589" s="213">
        <v>3</v>
      </c>
      <c r="V589" s="213" t="s">
        <v>3439</v>
      </c>
      <c r="W589" s="213" t="s">
        <v>3361</v>
      </c>
      <c r="X589" s="213" t="s">
        <v>3441</v>
      </c>
      <c r="Y589" s="213" t="s">
        <v>4995</v>
      </c>
      <c r="Z589" s="213" t="s">
        <v>1406</v>
      </c>
      <c r="AA589" s="213">
        <v>100</v>
      </c>
      <c r="AB589" s="213">
        <v>125</v>
      </c>
      <c r="AC589" s="207" t="s">
        <v>4530</v>
      </c>
      <c r="AD589"/>
      <c r="AE589" s="206"/>
      <c r="AF589" s="94"/>
      <c r="AG589" s="94"/>
      <c r="AH589" s="94"/>
      <c r="AI589" s="94"/>
      <c r="AJ589" s="94"/>
      <c r="AK589" s="94"/>
      <c r="AL589" s="94"/>
      <c r="AM589" s="254"/>
      <c r="AN589" s="254"/>
      <c r="AO589" s="94"/>
      <c r="AP589" s="94"/>
      <c r="AQ589" s="94"/>
      <c r="AR589" s="94"/>
      <c r="AS589" s="207"/>
    </row>
    <row r="590" spans="13:45" ht="12.75">
      <c r="M590" s="104"/>
      <c r="O590" s="206" t="s">
        <v>4474</v>
      </c>
      <c r="P590" s="94" t="s">
        <v>3579</v>
      </c>
      <c r="Q590" s="180">
        <v>590907</v>
      </c>
      <c r="R590" s="258">
        <v>5000</v>
      </c>
      <c r="S590" s="259">
        <v>150</v>
      </c>
      <c r="T590" s="213" t="s">
        <v>5012</v>
      </c>
      <c r="U590" s="213">
        <v>3</v>
      </c>
      <c r="V590" s="213" t="s">
        <v>3439</v>
      </c>
      <c r="W590" s="213" t="s">
        <v>3361</v>
      </c>
      <c r="X590" s="213" t="s">
        <v>3441</v>
      </c>
      <c r="Y590" s="213" t="s">
        <v>4999</v>
      </c>
      <c r="Z590" s="213" t="s">
        <v>1406</v>
      </c>
      <c r="AA590" s="213">
        <v>100</v>
      </c>
      <c r="AB590" s="213">
        <v>125</v>
      </c>
      <c r="AC590" s="207" t="s">
        <v>4530</v>
      </c>
      <c r="AD590"/>
      <c r="AE590" s="206"/>
      <c r="AF590" s="94"/>
      <c r="AG590" s="94"/>
      <c r="AH590" s="94"/>
      <c r="AI590" s="94"/>
      <c r="AJ590" s="94"/>
      <c r="AK590" s="94"/>
      <c r="AL590" s="94"/>
      <c r="AM590" s="254"/>
      <c r="AN590" s="254"/>
      <c r="AO590" s="94"/>
      <c r="AP590" s="94"/>
      <c r="AQ590" s="94"/>
      <c r="AR590" s="94"/>
      <c r="AS590" s="207"/>
    </row>
    <row r="591" spans="13:45" ht="12.75">
      <c r="M591" s="104"/>
      <c r="O591" s="206" t="s">
        <v>4734</v>
      </c>
      <c r="P591" s="94" t="s">
        <v>3582</v>
      </c>
      <c r="Q591" s="180">
        <v>583689</v>
      </c>
      <c r="R591" s="258">
        <v>5000</v>
      </c>
      <c r="S591" s="259">
        <v>150</v>
      </c>
      <c r="T591" s="213" t="s">
        <v>5012</v>
      </c>
      <c r="U591" s="213">
        <v>3</v>
      </c>
      <c r="V591" s="213" t="s">
        <v>3439</v>
      </c>
      <c r="W591" s="213" t="s">
        <v>3361</v>
      </c>
      <c r="X591" s="213" t="s">
        <v>3441</v>
      </c>
      <c r="Y591" s="213" t="s">
        <v>4996</v>
      </c>
      <c r="Z591" s="213" t="s">
        <v>1406</v>
      </c>
      <c r="AA591" s="213">
        <v>100</v>
      </c>
      <c r="AB591" s="213">
        <v>125</v>
      </c>
      <c r="AC591" s="207" t="s">
        <v>4530</v>
      </c>
      <c r="AD591"/>
      <c r="AE591" s="206"/>
      <c r="AF591" s="94"/>
      <c r="AG591" s="94"/>
      <c r="AH591" s="94"/>
      <c r="AI591" s="94"/>
      <c r="AJ591" s="94"/>
      <c r="AK591" s="94"/>
      <c r="AL591" s="94"/>
      <c r="AM591" s="254"/>
      <c r="AN591" s="254"/>
      <c r="AO591" s="94"/>
      <c r="AP591" s="94"/>
      <c r="AQ591" s="94"/>
      <c r="AR591" s="94"/>
      <c r="AS591" s="207"/>
    </row>
    <row r="592" spans="13:45" ht="12.75">
      <c r="M592" s="104"/>
      <c r="O592" s="206" t="s">
        <v>4737</v>
      </c>
      <c r="P592" s="94" t="s">
        <v>3585</v>
      </c>
      <c r="Q592" s="180">
        <v>615116</v>
      </c>
      <c r="R592" s="258">
        <v>5000</v>
      </c>
      <c r="S592" s="259">
        <v>150</v>
      </c>
      <c r="T592" s="213" t="s">
        <v>5012</v>
      </c>
      <c r="U592" s="213">
        <v>3</v>
      </c>
      <c r="V592" s="213" t="s">
        <v>3439</v>
      </c>
      <c r="W592" s="213" t="s">
        <v>3361</v>
      </c>
      <c r="X592" s="213" t="s">
        <v>3445</v>
      </c>
      <c r="Y592" s="213" t="s">
        <v>4999</v>
      </c>
      <c r="Z592" s="213" t="s">
        <v>1406</v>
      </c>
      <c r="AA592" s="213">
        <v>100</v>
      </c>
      <c r="AB592" s="213">
        <v>125</v>
      </c>
      <c r="AC592" s="207" t="s">
        <v>4530</v>
      </c>
      <c r="AD592"/>
      <c r="AE592" s="206"/>
      <c r="AF592" s="94"/>
      <c r="AG592" s="94"/>
      <c r="AH592" s="94"/>
      <c r="AI592" s="94"/>
      <c r="AJ592" s="94"/>
      <c r="AK592" s="94"/>
      <c r="AL592" s="94"/>
      <c r="AM592" s="254"/>
      <c r="AN592" s="254"/>
      <c r="AO592" s="94"/>
      <c r="AP592" s="94"/>
      <c r="AQ592" s="94"/>
      <c r="AR592" s="94"/>
      <c r="AS592" s="207"/>
    </row>
    <row r="593" spans="13:45" ht="12.75">
      <c r="M593" s="104"/>
      <c r="O593" s="206" t="s">
        <v>4740</v>
      </c>
      <c r="P593" s="94" t="s">
        <v>1431</v>
      </c>
      <c r="Q593" s="180">
        <v>607898</v>
      </c>
      <c r="R593" s="258">
        <v>5000</v>
      </c>
      <c r="S593" s="259">
        <v>150</v>
      </c>
      <c r="T593" s="213" t="s">
        <v>5012</v>
      </c>
      <c r="U593" s="213">
        <v>3</v>
      </c>
      <c r="V593" s="213" t="s">
        <v>3439</v>
      </c>
      <c r="W593" s="213" t="s">
        <v>3361</v>
      </c>
      <c r="X593" s="213" t="s">
        <v>3445</v>
      </c>
      <c r="Y593" s="213" t="s">
        <v>4996</v>
      </c>
      <c r="Z593" s="213" t="s">
        <v>1406</v>
      </c>
      <c r="AA593" s="213">
        <v>100</v>
      </c>
      <c r="AB593" s="213">
        <v>125</v>
      </c>
      <c r="AC593" s="207" t="s">
        <v>4530</v>
      </c>
      <c r="AD593"/>
      <c r="AE593" s="206"/>
      <c r="AF593" s="94"/>
      <c r="AG593" s="94"/>
      <c r="AH593" s="94"/>
      <c r="AI593" s="94"/>
      <c r="AJ593" s="94"/>
      <c r="AK593" s="94"/>
      <c r="AL593" s="94"/>
      <c r="AM593" s="254"/>
      <c r="AN593" s="254"/>
      <c r="AO593" s="94"/>
      <c r="AP593" s="94"/>
      <c r="AQ593" s="94"/>
      <c r="AR593" s="94"/>
      <c r="AS593" s="207"/>
    </row>
    <row r="594" spans="13:45" ht="12.75">
      <c r="M594" s="104"/>
      <c r="O594" s="206" t="s">
        <v>4743</v>
      </c>
      <c r="P594" s="94" t="s">
        <v>1434</v>
      </c>
      <c r="Q594" s="180">
        <v>632951</v>
      </c>
      <c r="R594" s="258">
        <v>6300</v>
      </c>
      <c r="S594" s="259">
        <v>100</v>
      </c>
      <c r="T594" s="213" t="s">
        <v>5012</v>
      </c>
      <c r="U594" s="213">
        <v>3</v>
      </c>
      <c r="V594" s="213" t="s">
        <v>3439</v>
      </c>
      <c r="W594" s="213" t="s">
        <v>3361</v>
      </c>
      <c r="X594" s="213" t="s">
        <v>3441</v>
      </c>
      <c r="Y594" s="213" t="s">
        <v>4995</v>
      </c>
      <c r="Z594" s="213" t="s">
        <v>3531</v>
      </c>
      <c r="AA594" s="213">
        <v>100</v>
      </c>
      <c r="AB594" s="213">
        <v>100</v>
      </c>
      <c r="AC594" s="207" t="s">
        <v>4530</v>
      </c>
      <c r="AD594"/>
      <c r="AE594" s="206"/>
      <c r="AF594" s="94"/>
      <c r="AG594" s="94"/>
      <c r="AH594" s="94"/>
      <c r="AI594" s="94"/>
      <c r="AJ594" s="94"/>
      <c r="AK594" s="94"/>
      <c r="AL594" s="94"/>
      <c r="AM594" s="254"/>
      <c r="AN594" s="254"/>
      <c r="AO594" s="94"/>
      <c r="AP594" s="94"/>
      <c r="AQ594" s="94"/>
      <c r="AR594" s="94"/>
      <c r="AS594" s="207"/>
    </row>
    <row r="595" spans="13:45" ht="12.75">
      <c r="M595" s="104"/>
      <c r="O595" s="206" t="s">
        <v>4746</v>
      </c>
      <c r="P595" s="94" t="s">
        <v>2218</v>
      </c>
      <c r="Q595" s="180">
        <v>645799</v>
      </c>
      <c r="R595" s="258">
        <v>6300</v>
      </c>
      <c r="S595" s="259">
        <v>100</v>
      </c>
      <c r="T595" s="213" t="s">
        <v>5012</v>
      </c>
      <c r="U595" s="213">
        <v>3</v>
      </c>
      <c r="V595" s="213" t="s">
        <v>3439</v>
      </c>
      <c r="W595" s="213" t="s">
        <v>3361</v>
      </c>
      <c r="X595" s="213" t="s">
        <v>3441</v>
      </c>
      <c r="Y595" s="213" t="s">
        <v>4999</v>
      </c>
      <c r="Z595" s="213" t="s">
        <v>3531</v>
      </c>
      <c r="AA595" s="213">
        <v>100</v>
      </c>
      <c r="AB595" s="213">
        <v>100</v>
      </c>
      <c r="AC595" s="207" t="s">
        <v>4530</v>
      </c>
      <c r="AD595"/>
      <c r="AE595" s="206"/>
      <c r="AF595" s="94"/>
      <c r="AG595" s="94"/>
      <c r="AH595" s="94"/>
      <c r="AI595" s="94"/>
      <c r="AJ595" s="94"/>
      <c r="AK595" s="94"/>
      <c r="AL595" s="94"/>
      <c r="AM595" s="254"/>
      <c r="AN595" s="254"/>
      <c r="AO595" s="94"/>
      <c r="AP595" s="94"/>
      <c r="AQ595" s="94"/>
      <c r="AR595" s="94"/>
      <c r="AS595" s="207"/>
    </row>
    <row r="596" spans="13:45" ht="12.75">
      <c r="M596" s="104"/>
      <c r="O596" s="206" t="s">
        <v>4749</v>
      </c>
      <c r="P596" s="94" t="s">
        <v>2990</v>
      </c>
      <c r="Q596" s="180">
        <v>638582</v>
      </c>
      <c r="R596" s="258">
        <v>6300</v>
      </c>
      <c r="S596" s="259">
        <v>100</v>
      </c>
      <c r="T596" s="213" t="s">
        <v>5012</v>
      </c>
      <c r="U596" s="213">
        <v>3</v>
      </c>
      <c r="V596" s="213" t="s">
        <v>3439</v>
      </c>
      <c r="W596" s="213" t="s">
        <v>3361</v>
      </c>
      <c r="X596" s="213" t="s">
        <v>3441</v>
      </c>
      <c r="Y596" s="213" t="s">
        <v>4996</v>
      </c>
      <c r="Z596" s="213" t="s">
        <v>3531</v>
      </c>
      <c r="AA596" s="213">
        <v>100</v>
      </c>
      <c r="AB596" s="213">
        <v>100</v>
      </c>
      <c r="AC596" s="207" t="s">
        <v>4530</v>
      </c>
      <c r="AD596"/>
      <c r="AE596" s="206"/>
      <c r="AF596" s="94"/>
      <c r="AG596" s="94"/>
      <c r="AH596" s="94"/>
      <c r="AI596" s="94"/>
      <c r="AJ596" s="94"/>
      <c r="AK596" s="94"/>
      <c r="AL596" s="94"/>
      <c r="AM596" s="254"/>
      <c r="AN596" s="254"/>
      <c r="AO596" s="94"/>
      <c r="AP596" s="94"/>
      <c r="AQ596" s="94"/>
      <c r="AR596" s="94"/>
      <c r="AS596" s="207"/>
    </row>
    <row r="597" spans="13:45" ht="12.75">
      <c r="M597" s="104"/>
      <c r="O597" s="206" t="s">
        <v>4752</v>
      </c>
      <c r="P597" s="94" t="s">
        <v>2993</v>
      </c>
      <c r="Q597" s="180">
        <v>670008</v>
      </c>
      <c r="R597" s="258">
        <v>6300</v>
      </c>
      <c r="S597" s="259">
        <v>100</v>
      </c>
      <c r="T597" s="213" t="s">
        <v>5012</v>
      </c>
      <c r="U597" s="213">
        <v>3</v>
      </c>
      <c r="V597" s="213" t="s">
        <v>3439</v>
      </c>
      <c r="W597" s="213" t="s">
        <v>3361</v>
      </c>
      <c r="X597" s="213" t="s">
        <v>3445</v>
      </c>
      <c r="Y597" s="213" t="s">
        <v>4999</v>
      </c>
      <c r="Z597" s="213" t="s">
        <v>3531</v>
      </c>
      <c r="AA597" s="213">
        <v>100</v>
      </c>
      <c r="AB597" s="213">
        <v>100</v>
      </c>
      <c r="AC597" s="207" t="s">
        <v>4530</v>
      </c>
      <c r="AD597"/>
      <c r="AE597" s="206"/>
      <c r="AF597" s="94"/>
      <c r="AG597" s="94"/>
      <c r="AH597" s="94"/>
      <c r="AI597" s="94"/>
      <c r="AJ597" s="94"/>
      <c r="AK597" s="94"/>
      <c r="AL597" s="94"/>
      <c r="AM597" s="254"/>
      <c r="AN597" s="254"/>
      <c r="AO597" s="94"/>
      <c r="AP597" s="94"/>
      <c r="AQ597" s="94"/>
      <c r="AR597" s="94"/>
      <c r="AS597" s="207"/>
    </row>
    <row r="598" spans="13:45" ht="12.75">
      <c r="M598" s="104"/>
      <c r="O598" s="206" t="s">
        <v>4755</v>
      </c>
      <c r="P598" s="94" t="s">
        <v>2996</v>
      </c>
      <c r="Q598" s="180">
        <v>662791</v>
      </c>
      <c r="R598" s="258">
        <v>6300</v>
      </c>
      <c r="S598" s="259">
        <v>100</v>
      </c>
      <c r="T598" s="213" t="s">
        <v>5012</v>
      </c>
      <c r="U598" s="213">
        <v>3</v>
      </c>
      <c r="V598" s="213" t="s">
        <v>3439</v>
      </c>
      <c r="W598" s="213" t="s">
        <v>3361</v>
      </c>
      <c r="X598" s="213" t="s">
        <v>3445</v>
      </c>
      <c r="Y598" s="213" t="s">
        <v>4996</v>
      </c>
      <c r="Z598" s="213" t="s">
        <v>3531</v>
      </c>
      <c r="AA598" s="213">
        <v>100</v>
      </c>
      <c r="AB598" s="213">
        <v>100</v>
      </c>
      <c r="AC598" s="207" t="s">
        <v>4530</v>
      </c>
      <c r="AD598"/>
      <c r="AE598" s="206"/>
      <c r="AF598" s="94"/>
      <c r="AG598" s="94"/>
      <c r="AH598" s="94"/>
      <c r="AI598" s="94"/>
      <c r="AJ598" s="94"/>
      <c r="AK598" s="94"/>
      <c r="AL598" s="94"/>
      <c r="AM598" s="254"/>
      <c r="AN598" s="254"/>
      <c r="AO598" s="94"/>
      <c r="AP598" s="94"/>
      <c r="AQ598" s="94"/>
      <c r="AR598" s="94"/>
      <c r="AS598" s="207"/>
    </row>
    <row r="599" spans="13:45" ht="12.75">
      <c r="M599" s="104"/>
      <c r="O599" s="206" t="s">
        <v>4758</v>
      </c>
      <c r="P599" s="94" t="s">
        <v>2999</v>
      </c>
      <c r="Q599" s="180">
        <v>798561</v>
      </c>
      <c r="R599" s="258">
        <v>6300</v>
      </c>
      <c r="S599" s="259">
        <v>150</v>
      </c>
      <c r="T599" s="213" t="s">
        <v>5012</v>
      </c>
      <c r="U599" s="213">
        <v>3</v>
      </c>
      <c r="V599" s="213" t="s">
        <v>3439</v>
      </c>
      <c r="W599" s="213" t="s">
        <v>3361</v>
      </c>
      <c r="X599" s="213" t="s">
        <v>3441</v>
      </c>
      <c r="Y599" s="213" t="s">
        <v>4995</v>
      </c>
      <c r="Z599" s="213" t="s">
        <v>1406</v>
      </c>
      <c r="AA599" s="213">
        <v>100</v>
      </c>
      <c r="AB599" s="213">
        <v>125</v>
      </c>
      <c r="AC599" s="207" t="s">
        <v>4530</v>
      </c>
      <c r="AD599"/>
      <c r="AE599" s="206"/>
      <c r="AF599" s="94"/>
      <c r="AG599" s="94"/>
      <c r="AH599" s="94"/>
      <c r="AI599" s="94"/>
      <c r="AJ599" s="94"/>
      <c r="AK599" s="94"/>
      <c r="AL599" s="94"/>
      <c r="AM599" s="254"/>
      <c r="AN599" s="254"/>
      <c r="AO599" s="94"/>
      <c r="AP599" s="94"/>
      <c r="AQ599" s="94"/>
      <c r="AR599" s="94"/>
      <c r="AS599" s="207"/>
    </row>
    <row r="600" spans="13:45" ht="12.75">
      <c r="M600" s="104"/>
      <c r="O600" s="206" t="s">
        <v>4761</v>
      </c>
      <c r="P600" s="94" t="s">
        <v>3002</v>
      </c>
      <c r="Q600" s="180">
        <v>811408</v>
      </c>
      <c r="R600" s="258">
        <v>6300</v>
      </c>
      <c r="S600" s="259">
        <v>150</v>
      </c>
      <c r="T600" s="213" t="s">
        <v>5012</v>
      </c>
      <c r="U600" s="213">
        <v>3</v>
      </c>
      <c r="V600" s="213" t="s">
        <v>3439</v>
      </c>
      <c r="W600" s="213" t="s">
        <v>3361</v>
      </c>
      <c r="X600" s="213" t="s">
        <v>3441</v>
      </c>
      <c r="Y600" s="213" t="s">
        <v>4999</v>
      </c>
      <c r="Z600" s="213" t="s">
        <v>1406</v>
      </c>
      <c r="AA600" s="213">
        <v>100</v>
      </c>
      <c r="AB600" s="213">
        <v>125</v>
      </c>
      <c r="AC600" s="207" t="s">
        <v>4530</v>
      </c>
      <c r="AD600"/>
      <c r="AE600" s="206"/>
      <c r="AF600" s="94"/>
      <c r="AG600" s="94"/>
      <c r="AH600" s="94"/>
      <c r="AI600" s="94"/>
      <c r="AJ600" s="94"/>
      <c r="AK600" s="94"/>
      <c r="AL600" s="94"/>
      <c r="AM600" s="254"/>
      <c r="AN600" s="254"/>
      <c r="AO600" s="94"/>
      <c r="AP600" s="94"/>
      <c r="AQ600" s="94"/>
      <c r="AR600" s="94"/>
      <c r="AS600" s="207"/>
    </row>
    <row r="601" spans="13:45" ht="12.75">
      <c r="M601" s="104"/>
      <c r="O601" s="206" t="s">
        <v>2246</v>
      </c>
      <c r="P601" s="94" t="s">
        <v>3005</v>
      </c>
      <c r="Q601" s="180">
        <v>804191</v>
      </c>
      <c r="R601" s="258">
        <v>6300</v>
      </c>
      <c r="S601" s="259">
        <v>150</v>
      </c>
      <c r="T601" s="213" t="s">
        <v>5012</v>
      </c>
      <c r="U601" s="213">
        <v>3</v>
      </c>
      <c r="V601" s="213" t="s">
        <v>3439</v>
      </c>
      <c r="W601" s="213" t="s">
        <v>3361</v>
      </c>
      <c r="X601" s="213" t="s">
        <v>3441</v>
      </c>
      <c r="Y601" s="213" t="s">
        <v>4996</v>
      </c>
      <c r="Z601" s="213" t="s">
        <v>1406</v>
      </c>
      <c r="AA601" s="213">
        <v>100</v>
      </c>
      <c r="AB601" s="213">
        <v>125</v>
      </c>
      <c r="AC601" s="207" t="s">
        <v>4530</v>
      </c>
      <c r="AD601"/>
      <c r="AE601" s="206"/>
      <c r="AF601" s="94"/>
      <c r="AG601" s="94"/>
      <c r="AH601" s="94"/>
      <c r="AI601" s="94"/>
      <c r="AJ601" s="94"/>
      <c r="AK601" s="94"/>
      <c r="AL601" s="94"/>
      <c r="AM601" s="254"/>
      <c r="AN601" s="254"/>
      <c r="AO601" s="94"/>
      <c r="AP601" s="94"/>
      <c r="AQ601" s="94"/>
      <c r="AR601" s="94"/>
      <c r="AS601" s="207"/>
    </row>
    <row r="602" spans="13:45" ht="12.75">
      <c r="M602" s="104"/>
      <c r="O602" s="206" t="s">
        <v>2249</v>
      </c>
      <c r="P602" s="94" t="s">
        <v>3008</v>
      </c>
      <c r="Q602" s="180">
        <v>835617</v>
      </c>
      <c r="R602" s="258">
        <v>6300</v>
      </c>
      <c r="S602" s="259">
        <v>150</v>
      </c>
      <c r="T602" s="213" t="s">
        <v>5012</v>
      </c>
      <c r="U602" s="213">
        <v>3</v>
      </c>
      <c r="V602" s="213" t="s">
        <v>3439</v>
      </c>
      <c r="W602" s="213" t="s">
        <v>3361</v>
      </c>
      <c r="X602" s="213" t="s">
        <v>3445</v>
      </c>
      <c r="Y602" s="213" t="s">
        <v>4999</v>
      </c>
      <c r="Z602" s="213" t="s">
        <v>1406</v>
      </c>
      <c r="AA602" s="213">
        <v>100</v>
      </c>
      <c r="AB602" s="213">
        <v>125</v>
      </c>
      <c r="AC602" s="207" t="s">
        <v>4530</v>
      </c>
      <c r="AD602"/>
      <c r="AE602" s="206"/>
      <c r="AF602" s="94"/>
      <c r="AG602" s="94"/>
      <c r="AH602" s="94"/>
      <c r="AI602" s="94"/>
      <c r="AJ602" s="94"/>
      <c r="AK602" s="94"/>
      <c r="AL602" s="94"/>
      <c r="AM602" s="254"/>
      <c r="AN602" s="254"/>
      <c r="AO602" s="94"/>
      <c r="AP602" s="94"/>
      <c r="AQ602" s="94"/>
      <c r="AR602" s="94"/>
      <c r="AS602" s="207"/>
    </row>
    <row r="603" spans="13:45" ht="12.75">
      <c r="M603" s="104"/>
      <c r="O603" s="206" t="s">
        <v>2252</v>
      </c>
      <c r="P603" s="94" t="s">
        <v>3011</v>
      </c>
      <c r="Q603" s="180">
        <v>828400</v>
      </c>
      <c r="R603" s="258">
        <v>6300</v>
      </c>
      <c r="S603" s="259">
        <v>150</v>
      </c>
      <c r="T603" s="213" t="s">
        <v>5012</v>
      </c>
      <c r="U603" s="213">
        <v>3</v>
      </c>
      <c r="V603" s="213" t="s">
        <v>3439</v>
      </c>
      <c r="W603" s="213" t="s">
        <v>3361</v>
      </c>
      <c r="X603" s="213" t="s">
        <v>3445</v>
      </c>
      <c r="Y603" s="213" t="s">
        <v>4996</v>
      </c>
      <c r="Z603" s="213" t="s">
        <v>1406</v>
      </c>
      <c r="AA603" s="213">
        <v>100</v>
      </c>
      <c r="AB603" s="213">
        <v>125</v>
      </c>
      <c r="AC603" s="207" t="s">
        <v>4530</v>
      </c>
      <c r="AD603"/>
      <c r="AE603" s="206"/>
      <c r="AF603" s="94"/>
      <c r="AG603" s="94"/>
      <c r="AH603" s="94"/>
      <c r="AI603" s="94"/>
      <c r="AJ603" s="94"/>
      <c r="AK603" s="94"/>
      <c r="AL603" s="94"/>
      <c r="AM603" s="254"/>
      <c r="AN603" s="254"/>
      <c r="AO603" s="94"/>
      <c r="AP603" s="94"/>
      <c r="AQ603" s="94"/>
      <c r="AR603" s="94"/>
      <c r="AS603" s="207"/>
    </row>
    <row r="604" spans="13:45" ht="12.75">
      <c r="M604" s="104"/>
      <c r="O604" s="206" t="s">
        <v>2254</v>
      </c>
      <c r="P604" s="94" t="s">
        <v>3013</v>
      </c>
      <c r="Q604" s="180">
        <v>512803</v>
      </c>
      <c r="R604" s="258">
        <v>3200</v>
      </c>
      <c r="S604" s="259">
        <v>150</v>
      </c>
      <c r="T604" s="213" t="s">
        <v>5012</v>
      </c>
      <c r="U604" s="213">
        <v>3</v>
      </c>
      <c r="V604" s="213" t="s">
        <v>3443</v>
      </c>
      <c r="W604" s="213" t="s">
        <v>3572</v>
      </c>
      <c r="X604" s="213" t="s">
        <v>3441</v>
      </c>
      <c r="Y604" s="213" t="s">
        <v>4995</v>
      </c>
      <c r="Z604" s="213" t="s">
        <v>1406</v>
      </c>
      <c r="AA604" s="213">
        <v>100</v>
      </c>
      <c r="AB604" s="213">
        <v>125</v>
      </c>
      <c r="AC604" s="207" t="s">
        <v>4530</v>
      </c>
      <c r="AD604"/>
      <c r="AE604" s="206"/>
      <c r="AF604" s="94"/>
      <c r="AG604" s="94"/>
      <c r="AH604" s="94"/>
      <c r="AI604" s="94"/>
      <c r="AJ604" s="94"/>
      <c r="AK604" s="94"/>
      <c r="AL604" s="94"/>
      <c r="AM604" s="254"/>
      <c r="AN604" s="254"/>
      <c r="AO604" s="94"/>
      <c r="AP604" s="94"/>
      <c r="AQ604" s="94"/>
      <c r="AR604" s="94"/>
      <c r="AS604" s="207"/>
    </row>
    <row r="605" spans="13:45" ht="12.75">
      <c r="M605" s="104"/>
      <c r="O605" s="206" t="s">
        <v>2255</v>
      </c>
      <c r="P605" s="94" t="s">
        <v>3014</v>
      </c>
      <c r="Q605" s="180">
        <v>525650</v>
      </c>
      <c r="R605" s="258">
        <v>3200</v>
      </c>
      <c r="S605" s="259">
        <v>150</v>
      </c>
      <c r="T605" s="213" t="s">
        <v>5012</v>
      </c>
      <c r="U605" s="213">
        <v>3</v>
      </c>
      <c r="V605" s="213" t="s">
        <v>3443</v>
      </c>
      <c r="W605" s="213" t="s">
        <v>3572</v>
      </c>
      <c r="X605" s="213" t="s">
        <v>3441</v>
      </c>
      <c r="Y605" s="213" t="s">
        <v>4999</v>
      </c>
      <c r="Z605" s="213" t="s">
        <v>1406</v>
      </c>
      <c r="AA605" s="213">
        <v>100</v>
      </c>
      <c r="AB605" s="213">
        <v>125</v>
      </c>
      <c r="AC605" s="207" t="s">
        <v>4530</v>
      </c>
      <c r="AD605"/>
      <c r="AE605" s="206"/>
      <c r="AF605" s="94"/>
      <c r="AG605" s="94"/>
      <c r="AH605" s="94"/>
      <c r="AI605" s="94"/>
      <c r="AJ605" s="94"/>
      <c r="AK605" s="94"/>
      <c r="AL605" s="94"/>
      <c r="AM605" s="254"/>
      <c r="AN605" s="254"/>
      <c r="AO605" s="94"/>
      <c r="AP605" s="94"/>
      <c r="AQ605" s="94"/>
      <c r="AR605" s="94"/>
      <c r="AS605" s="207"/>
    </row>
    <row r="606" spans="13:45" ht="12.75">
      <c r="M606" s="104"/>
      <c r="O606" s="206" t="s">
        <v>2256</v>
      </c>
      <c r="P606" s="94" t="s">
        <v>3015</v>
      </c>
      <c r="Q606" s="180">
        <v>518433</v>
      </c>
      <c r="R606" s="258">
        <v>3200</v>
      </c>
      <c r="S606" s="259">
        <v>150</v>
      </c>
      <c r="T606" s="213" t="s">
        <v>5012</v>
      </c>
      <c r="U606" s="213">
        <v>3</v>
      </c>
      <c r="V606" s="213" t="s">
        <v>3443</v>
      </c>
      <c r="W606" s="213" t="s">
        <v>3572</v>
      </c>
      <c r="X606" s="213" t="s">
        <v>3441</v>
      </c>
      <c r="Y606" s="213" t="s">
        <v>4996</v>
      </c>
      <c r="Z606" s="213" t="s">
        <v>1406</v>
      </c>
      <c r="AA606" s="213">
        <v>100</v>
      </c>
      <c r="AB606" s="213">
        <v>125</v>
      </c>
      <c r="AC606" s="207" t="s">
        <v>4530</v>
      </c>
      <c r="AD606"/>
      <c r="AE606" s="206"/>
      <c r="AF606" s="94"/>
      <c r="AG606" s="94"/>
      <c r="AH606" s="94"/>
      <c r="AI606" s="94"/>
      <c r="AJ606" s="94"/>
      <c r="AK606" s="94"/>
      <c r="AL606" s="94"/>
      <c r="AM606" s="254"/>
      <c r="AN606" s="254"/>
      <c r="AO606" s="94"/>
      <c r="AP606" s="94"/>
      <c r="AQ606" s="94"/>
      <c r="AR606" s="94"/>
      <c r="AS606" s="207"/>
    </row>
    <row r="607" spans="13:45" ht="12.75">
      <c r="M607" s="104"/>
      <c r="O607" s="206" t="s">
        <v>2257</v>
      </c>
      <c r="P607" s="94" t="s">
        <v>3016</v>
      </c>
      <c r="Q607" s="180">
        <v>549860</v>
      </c>
      <c r="R607" s="258">
        <v>3200</v>
      </c>
      <c r="S607" s="259">
        <v>150</v>
      </c>
      <c r="T607" s="213" t="s">
        <v>5012</v>
      </c>
      <c r="U607" s="213">
        <v>3</v>
      </c>
      <c r="V607" s="213" t="s">
        <v>3443</v>
      </c>
      <c r="W607" s="213" t="s">
        <v>3572</v>
      </c>
      <c r="X607" s="213" t="s">
        <v>3445</v>
      </c>
      <c r="Y607" s="213" t="s">
        <v>4999</v>
      </c>
      <c r="Z607" s="213" t="s">
        <v>1406</v>
      </c>
      <c r="AA607" s="213">
        <v>100</v>
      </c>
      <c r="AB607" s="213">
        <v>125</v>
      </c>
      <c r="AC607" s="207" t="s">
        <v>4530</v>
      </c>
      <c r="AD607"/>
      <c r="AE607" s="206"/>
      <c r="AF607" s="94"/>
      <c r="AG607" s="94"/>
      <c r="AH607" s="94"/>
      <c r="AI607" s="94"/>
      <c r="AJ607" s="94"/>
      <c r="AK607" s="94"/>
      <c r="AL607" s="94"/>
      <c r="AM607" s="254"/>
      <c r="AN607" s="254"/>
      <c r="AO607" s="94"/>
      <c r="AP607" s="94"/>
      <c r="AQ607" s="94"/>
      <c r="AR607" s="94"/>
      <c r="AS607" s="207"/>
    </row>
    <row r="608" spans="13:45" ht="12.75">
      <c r="M608" s="104"/>
      <c r="O608" s="206" t="s">
        <v>2258</v>
      </c>
      <c r="P608" s="94" t="s">
        <v>3017</v>
      </c>
      <c r="Q608" s="180">
        <v>542642</v>
      </c>
      <c r="R608" s="258">
        <v>3200</v>
      </c>
      <c r="S608" s="259">
        <v>150</v>
      </c>
      <c r="T608" s="213" t="s">
        <v>5012</v>
      </c>
      <c r="U608" s="213">
        <v>3</v>
      </c>
      <c r="V608" s="213" t="s">
        <v>3443</v>
      </c>
      <c r="W608" s="213" t="s">
        <v>3572</v>
      </c>
      <c r="X608" s="213" t="s">
        <v>3445</v>
      </c>
      <c r="Y608" s="213" t="s">
        <v>4996</v>
      </c>
      <c r="Z608" s="213" t="s">
        <v>1406</v>
      </c>
      <c r="AA608" s="213">
        <v>100</v>
      </c>
      <c r="AB608" s="213">
        <v>125</v>
      </c>
      <c r="AC608" s="207" t="s">
        <v>4530</v>
      </c>
      <c r="AD608"/>
      <c r="AE608" s="206"/>
      <c r="AF608" s="94"/>
      <c r="AG608" s="94"/>
      <c r="AH608" s="94"/>
      <c r="AI608" s="94"/>
      <c r="AJ608" s="94"/>
      <c r="AK608" s="94"/>
      <c r="AL608" s="94"/>
      <c r="AM608" s="254"/>
      <c r="AN608" s="254"/>
      <c r="AO608" s="94"/>
      <c r="AP608" s="94"/>
      <c r="AQ608" s="94"/>
      <c r="AR608" s="94"/>
      <c r="AS608" s="207"/>
    </row>
    <row r="609" spans="13:45" ht="12.75">
      <c r="M609" s="104"/>
      <c r="O609" s="206" t="s">
        <v>2259</v>
      </c>
      <c r="P609" s="94" t="s">
        <v>3018</v>
      </c>
      <c r="Q609" s="180">
        <v>539792</v>
      </c>
      <c r="R609" s="258">
        <v>4000</v>
      </c>
      <c r="S609" s="259">
        <v>150</v>
      </c>
      <c r="T609" s="213" t="s">
        <v>5012</v>
      </c>
      <c r="U609" s="213">
        <v>3</v>
      </c>
      <c r="V609" s="213" t="s">
        <v>3443</v>
      </c>
      <c r="W609" s="213" t="s">
        <v>3572</v>
      </c>
      <c r="X609" s="213" t="s">
        <v>3441</v>
      </c>
      <c r="Y609" s="213" t="s">
        <v>4995</v>
      </c>
      <c r="Z609" s="213" t="s">
        <v>1406</v>
      </c>
      <c r="AA609" s="213">
        <v>100</v>
      </c>
      <c r="AB609" s="213">
        <v>125</v>
      </c>
      <c r="AC609" s="207" t="s">
        <v>4530</v>
      </c>
      <c r="AD609"/>
      <c r="AE609" s="206"/>
      <c r="AF609" s="94"/>
      <c r="AG609" s="94"/>
      <c r="AH609" s="94"/>
      <c r="AI609" s="94"/>
      <c r="AJ609" s="94"/>
      <c r="AK609" s="94"/>
      <c r="AL609" s="94"/>
      <c r="AM609" s="254"/>
      <c r="AN609" s="254"/>
      <c r="AO609" s="94"/>
      <c r="AP609" s="94"/>
      <c r="AQ609" s="94"/>
      <c r="AR609" s="94"/>
      <c r="AS609" s="207"/>
    </row>
    <row r="610" spans="13:45" ht="12.75">
      <c r="M610" s="104"/>
      <c r="O610" s="206" t="s">
        <v>2260</v>
      </c>
      <c r="P610" s="94" t="s">
        <v>3019</v>
      </c>
      <c r="Q610" s="180">
        <v>552639</v>
      </c>
      <c r="R610" s="258">
        <v>4000</v>
      </c>
      <c r="S610" s="259">
        <v>150</v>
      </c>
      <c r="T610" s="213" t="s">
        <v>5012</v>
      </c>
      <c r="U610" s="213">
        <v>3</v>
      </c>
      <c r="V610" s="213" t="s">
        <v>3443</v>
      </c>
      <c r="W610" s="213" t="s">
        <v>3572</v>
      </c>
      <c r="X610" s="213" t="s">
        <v>3441</v>
      </c>
      <c r="Y610" s="213" t="s">
        <v>4999</v>
      </c>
      <c r="Z610" s="213" t="s">
        <v>1406</v>
      </c>
      <c r="AA610" s="213">
        <v>100</v>
      </c>
      <c r="AB610" s="213">
        <v>125</v>
      </c>
      <c r="AC610" s="207" t="s">
        <v>4530</v>
      </c>
      <c r="AD610"/>
      <c r="AE610" s="206"/>
      <c r="AF610" s="94"/>
      <c r="AG610" s="94"/>
      <c r="AH610" s="94"/>
      <c r="AI610" s="94"/>
      <c r="AJ610" s="94"/>
      <c r="AK610" s="94"/>
      <c r="AL610" s="94"/>
      <c r="AM610" s="254"/>
      <c r="AN610" s="254"/>
      <c r="AO610" s="94"/>
      <c r="AP610" s="94"/>
      <c r="AQ610" s="94"/>
      <c r="AR610" s="94"/>
      <c r="AS610" s="207"/>
    </row>
    <row r="611" spans="13:45" ht="12.75">
      <c r="M611" s="104"/>
      <c r="O611" s="206" t="s">
        <v>2261</v>
      </c>
      <c r="P611" s="94" t="s">
        <v>3020</v>
      </c>
      <c r="Q611" s="180">
        <v>545423</v>
      </c>
      <c r="R611" s="258">
        <v>4000</v>
      </c>
      <c r="S611" s="259">
        <v>150</v>
      </c>
      <c r="T611" s="213" t="s">
        <v>5012</v>
      </c>
      <c r="U611" s="213">
        <v>3</v>
      </c>
      <c r="V611" s="213" t="s">
        <v>3443</v>
      </c>
      <c r="W611" s="213" t="s">
        <v>3572</v>
      </c>
      <c r="X611" s="213" t="s">
        <v>3441</v>
      </c>
      <c r="Y611" s="213" t="s">
        <v>4996</v>
      </c>
      <c r="Z611" s="213" t="s">
        <v>1406</v>
      </c>
      <c r="AA611" s="213">
        <v>100</v>
      </c>
      <c r="AB611" s="213">
        <v>125</v>
      </c>
      <c r="AC611" s="207" t="s">
        <v>4530</v>
      </c>
      <c r="AD611"/>
      <c r="AE611" s="206"/>
      <c r="AF611" s="94"/>
      <c r="AG611" s="94"/>
      <c r="AH611" s="94"/>
      <c r="AI611" s="94"/>
      <c r="AJ611" s="94"/>
      <c r="AK611" s="94"/>
      <c r="AL611" s="94"/>
      <c r="AM611" s="254"/>
      <c r="AN611" s="254"/>
      <c r="AO611" s="94"/>
      <c r="AP611" s="94"/>
      <c r="AQ611" s="94"/>
      <c r="AR611" s="94"/>
      <c r="AS611" s="207"/>
    </row>
    <row r="612" spans="13:45" ht="12.75">
      <c r="M612" s="104"/>
      <c r="O612" s="206" t="s">
        <v>2262</v>
      </c>
      <c r="P612" s="94" t="s">
        <v>3021</v>
      </c>
      <c r="Q612" s="180">
        <v>576850</v>
      </c>
      <c r="R612" s="258">
        <v>4000</v>
      </c>
      <c r="S612" s="259">
        <v>150</v>
      </c>
      <c r="T612" s="213" t="s">
        <v>5012</v>
      </c>
      <c r="U612" s="213">
        <v>3</v>
      </c>
      <c r="V612" s="213" t="s">
        <v>3443</v>
      </c>
      <c r="W612" s="213" t="s">
        <v>3572</v>
      </c>
      <c r="X612" s="213" t="s">
        <v>3445</v>
      </c>
      <c r="Y612" s="213" t="s">
        <v>4999</v>
      </c>
      <c r="Z612" s="213" t="s">
        <v>1406</v>
      </c>
      <c r="AA612" s="213">
        <v>100</v>
      </c>
      <c r="AB612" s="213">
        <v>125</v>
      </c>
      <c r="AC612" s="207" t="s">
        <v>4530</v>
      </c>
      <c r="AD612"/>
      <c r="AE612" s="206"/>
      <c r="AF612" s="94"/>
      <c r="AG612" s="94"/>
      <c r="AH612" s="94"/>
      <c r="AI612" s="94"/>
      <c r="AJ612" s="94"/>
      <c r="AK612" s="94"/>
      <c r="AL612" s="94"/>
      <c r="AM612" s="254"/>
      <c r="AN612" s="254"/>
      <c r="AO612" s="94"/>
      <c r="AP612" s="94"/>
      <c r="AQ612" s="94"/>
      <c r="AR612" s="94"/>
      <c r="AS612" s="207"/>
    </row>
    <row r="613" spans="13:45" ht="12.75">
      <c r="M613" s="104"/>
      <c r="O613" s="206" t="s">
        <v>2263</v>
      </c>
      <c r="P613" s="94" t="s">
        <v>3022</v>
      </c>
      <c r="Q613" s="180">
        <v>569631</v>
      </c>
      <c r="R613" s="258">
        <v>4000</v>
      </c>
      <c r="S613" s="259">
        <v>150</v>
      </c>
      <c r="T613" s="213" t="s">
        <v>5012</v>
      </c>
      <c r="U613" s="213">
        <v>3</v>
      </c>
      <c r="V613" s="213" t="s">
        <v>3443</v>
      </c>
      <c r="W613" s="213" t="s">
        <v>3572</v>
      </c>
      <c r="X613" s="213" t="s">
        <v>3445</v>
      </c>
      <c r="Y613" s="213" t="s">
        <v>4996</v>
      </c>
      <c r="Z613" s="213" t="s">
        <v>1406</v>
      </c>
      <c r="AA613" s="213">
        <v>100</v>
      </c>
      <c r="AB613" s="213">
        <v>125</v>
      </c>
      <c r="AC613" s="207" t="s">
        <v>4530</v>
      </c>
      <c r="AD613"/>
      <c r="AE613" s="206"/>
      <c r="AF613" s="94"/>
      <c r="AG613" s="94"/>
      <c r="AH613" s="94"/>
      <c r="AI613" s="94"/>
      <c r="AJ613" s="94"/>
      <c r="AK613" s="94"/>
      <c r="AL613" s="94"/>
      <c r="AM613" s="254"/>
      <c r="AN613" s="254"/>
      <c r="AO613" s="94"/>
      <c r="AP613" s="94"/>
      <c r="AQ613" s="94"/>
      <c r="AR613" s="94"/>
      <c r="AS613" s="207"/>
    </row>
    <row r="614" spans="13:45" ht="12.75">
      <c r="M614" s="104"/>
      <c r="O614" s="206" t="s">
        <v>2264</v>
      </c>
      <c r="P614" s="94" t="s">
        <v>3023</v>
      </c>
      <c r="Q614" s="180">
        <v>452864</v>
      </c>
      <c r="R614" s="258">
        <v>5000</v>
      </c>
      <c r="S614" s="259">
        <v>100</v>
      </c>
      <c r="T614" s="213" t="s">
        <v>5012</v>
      </c>
      <c r="U614" s="213">
        <v>3</v>
      </c>
      <c r="V614" s="213" t="s">
        <v>3443</v>
      </c>
      <c r="W614" s="213" t="s">
        <v>3572</v>
      </c>
      <c r="X614" s="213" t="s">
        <v>3441</v>
      </c>
      <c r="Y614" s="213" t="s">
        <v>4995</v>
      </c>
      <c r="Z614" s="213" t="s">
        <v>3531</v>
      </c>
      <c r="AA614" s="213">
        <v>100</v>
      </c>
      <c r="AB614" s="213">
        <v>100</v>
      </c>
      <c r="AC614" s="207" t="s">
        <v>4530</v>
      </c>
      <c r="AD614"/>
      <c r="AE614" s="206"/>
      <c r="AF614" s="94"/>
      <c r="AG614" s="94"/>
      <c r="AH614" s="94"/>
      <c r="AI614" s="94"/>
      <c r="AJ614" s="94"/>
      <c r="AK614" s="94"/>
      <c r="AL614" s="94"/>
      <c r="AM614" s="254"/>
      <c r="AN614" s="254"/>
      <c r="AO614" s="94"/>
      <c r="AP614" s="94"/>
      <c r="AQ614" s="94"/>
      <c r="AR614" s="94"/>
      <c r="AS614" s="207"/>
    </row>
    <row r="615" spans="13:45" ht="12.75">
      <c r="M615" s="104"/>
      <c r="O615" s="206" t="s">
        <v>2387</v>
      </c>
      <c r="P615" s="94" t="s">
        <v>3024</v>
      </c>
      <c r="Q615" s="180">
        <v>465711</v>
      </c>
      <c r="R615" s="258">
        <v>5000</v>
      </c>
      <c r="S615" s="259">
        <v>100</v>
      </c>
      <c r="T615" s="213" t="s">
        <v>5012</v>
      </c>
      <c r="U615" s="213">
        <v>3</v>
      </c>
      <c r="V615" s="213" t="s">
        <v>3443</v>
      </c>
      <c r="W615" s="213" t="s">
        <v>3572</v>
      </c>
      <c r="X615" s="213" t="s">
        <v>3441</v>
      </c>
      <c r="Y615" s="213" t="s">
        <v>4999</v>
      </c>
      <c r="Z615" s="213" t="s">
        <v>3531</v>
      </c>
      <c r="AA615" s="213">
        <v>100</v>
      </c>
      <c r="AB615" s="213">
        <v>100</v>
      </c>
      <c r="AC615" s="207" t="s">
        <v>4530</v>
      </c>
      <c r="AD615"/>
      <c r="AE615" s="206"/>
      <c r="AF615" s="94"/>
      <c r="AG615" s="94"/>
      <c r="AH615" s="94"/>
      <c r="AI615" s="94"/>
      <c r="AJ615" s="94"/>
      <c r="AK615" s="94"/>
      <c r="AL615" s="94"/>
      <c r="AM615" s="254"/>
      <c r="AN615" s="254"/>
      <c r="AO615" s="94"/>
      <c r="AP615" s="94"/>
      <c r="AQ615" s="94"/>
      <c r="AR615" s="94"/>
      <c r="AS615" s="207"/>
    </row>
    <row r="616" spans="13:45" ht="12.75">
      <c r="M616" s="104"/>
      <c r="O616" s="206" t="s">
        <v>2388</v>
      </c>
      <c r="P616" s="94" t="s">
        <v>3025</v>
      </c>
      <c r="Q616" s="180">
        <v>458495</v>
      </c>
      <c r="R616" s="258">
        <v>5000</v>
      </c>
      <c r="S616" s="259">
        <v>100</v>
      </c>
      <c r="T616" s="213" t="s">
        <v>5012</v>
      </c>
      <c r="U616" s="213">
        <v>3</v>
      </c>
      <c r="V616" s="213" t="s">
        <v>3443</v>
      </c>
      <c r="W616" s="213" t="s">
        <v>3572</v>
      </c>
      <c r="X616" s="213" t="s">
        <v>3441</v>
      </c>
      <c r="Y616" s="213" t="s">
        <v>4996</v>
      </c>
      <c r="Z616" s="213" t="s">
        <v>3531</v>
      </c>
      <c r="AA616" s="213">
        <v>100</v>
      </c>
      <c r="AB616" s="213">
        <v>100</v>
      </c>
      <c r="AC616" s="207" t="s">
        <v>4530</v>
      </c>
      <c r="AD616"/>
      <c r="AE616" s="206"/>
      <c r="AF616" s="94"/>
      <c r="AG616" s="94"/>
      <c r="AH616" s="94"/>
      <c r="AI616" s="94"/>
      <c r="AJ616" s="94"/>
      <c r="AK616" s="94"/>
      <c r="AL616" s="94"/>
      <c r="AM616" s="254"/>
      <c r="AN616" s="254"/>
      <c r="AO616" s="94"/>
      <c r="AP616" s="94"/>
      <c r="AQ616" s="94"/>
      <c r="AR616" s="94"/>
      <c r="AS616" s="207"/>
    </row>
    <row r="617" spans="13:45" ht="12.75">
      <c r="M617" s="104"/>
      <c r="O617" s="206" t="s">
        <v>2389</v>
      </c>
      <c r="P617" s="94" t="s">
        <v>3026</v>
      </c>
      <c r="Q617" s="180">
        <v>489921</v>
      </c>
      <c r="R617" s="258">
        <v>5000</v>
      </c>
      <c r="S617" s="259">
        <v>100</v>
      </c>
      <c r="T617" s="213" t="s">
        <v>5012</v>
      </c>
      <c r="U617" s="213">
        <v>3</v>
      </c>
      <c r="V617" s="213" t="s">
        <v>3443</v>
      </c>
      <c r="W617" s="213" t="s">
        <v>3572</v>
      </c>
      <c r="X617" s="213" t="s">
        <v>3445</v>
      </c>
      <c r="Y617" s="213" t="s">
        <v>4999</v>
      </c>
      <c r="Z617" s="213" t="s">
        <v>3531</v>
      </c>
      <c r="AA617" s="213">
        <v>100</v>
      </c>
      <c r="AB617" s="213">
        <v>100</v>
      </c>
      <c r="AC617" s="207" t="s">
        <v>4530</v>
      </c>
      <c r="AD617"/>
      <c r="AE617" s="206"/>
      <c r="AF617" s="94"/>
      <c r="AG617" s="94"/>
      <c r="AH617" s="94"/>
      <c r="AI617" s="94"/>
      <c r="AJ617" s="94"/>
      <c r="AK617" s="94"/>
      <c r="AL617" s="94"/>
      <c r="AM617" s="254"/>
      <c r="AN617" s="254"/>
      <c r="AO617" s="94"/>
      <c r="AP617" s="94"/>
      <c r="AQ617" s="94"/>
      <c r="AR617" s="94"/>
      <c r="AS617" s="207"/>
    </row>
    <row r="618" spans="13:45" ht="12.75">
      <c r="M618" s="104"/>
      <c r="O618" s="206" t="s">
        <v>2390</v>
      </c>
      <c r="P618" s="94" t="s">
        <v>3027</v>
      </c>
      <c r="Q618" s="180">
        <v>482704</v>
      </c>
      <c r="R618" s="258">
        <v>5000</v>
      </c>
      <c r="S618" s="259">
        <v>100</v>
      </c>
      <c r="T618" s="213" t="s">
        <v>5012</v>
      </c>
      <c r="U618" s="213">
        <v>3</v>
      </c>
      <c r="V618" s="213" t="s">
        <v>3443</v>
      </c>
      <c r="W618" s="213" t="s">
        <v>3572</v>
      </c>
      <c r="X618" s="213" t="s">
        <v>3445</v>
      </c>
      <c r="Y618" s="213" t="s">
        <v>4996</v>
      </c>
      <c r="Z618" s="213" t="s">
        <v>3531</v>
      </c>
      <c r="AA618" s="213">
        <v>100</v>
      </c>
      <c r="AB618" s="213">
        <v>100</v>
      </c>
      <c r="AC618" s="207" t="s">
        <v>4530</v>
      </c>
      <c r="AD618"/>
      <c r="AE618" s="206"/>
      <c r="AF618" s="94"/>
      <c r="AG618" s="94"/>
      <c r="AH618" s="94"/>
      <c r="AI618" s="94"/>
      <c r="AJ618" s="94"/>
      <c r="AK618" s="94"/>
      <c r="AL618" s="94"/>
      <c r="AM618" s="254"/>
      <c r="AN618" s="254"/>
      <c r="AO618" s="94"/>
      <c r="AP618" s="94"/>
      <c r="AQ618" s="94"/>
      <c r="AR618" s="94"/>
      <c r="AS618" s="207"/>
    </row>
    <row r="619" spans="13:45" ht="12.75">
      <c r="M619" s="104"/>
      <c r="O619" s="206" t="s">
        <v>2391</v>
      </c>
      <c r="P619" s="94" t="s">
        <v>3028</v>
      </c>
      <c r="Q619" s="180">
        <v>568202</v>
      </c>
      <c r="R619" s="258">
        <v>5000</v>
      </c>
      <c r="S619" s="259">
        <v>150</v>
      </c>
      <c r="T619" s="213" t="s">
        <v>5012</v>
      </c>
      <c r="U619" s="213">
        <v>3</v>
      </c>
      <c r="V619" s="213" t="s">
        <v>3443</v>
      </c>
      <c r="W619" s="213" t="s">
        <v>3572</v>
      </c>
      <c r="X619" s="213" t="s">
        <v>3441</v>
      </c>
      <c r="Y619" s="213" t="s">
        <v>4995</v>
      </c>
      <c r="Z619" s="213" t="s">
        <v>1406</v>
      </c>
      <c r="AA619" s="213">
        <v>100</v>
      </c>
      <c r="AB619" s="213">
        <v>125</v>
      </c>
      <c r="AC619" s="207" t="s">
        <v>4530</v>
      </c>
      <c r="AD619"/>
      <c r="AE619" s="206"/>
      <c r="AF619" s="94"/>
      <c r="AG619" s="94"/>
      <c r="AH619" s="94"/>
      <c r="AI619" s="94"/>
      <c r="AJ619" s="94"/>
      <c r="AK619" s="94"/>
      <c r="AL619" s="94"/>
      <c r="AM619" s="254"/>
      <c r="AN619" s="254"/>
      <c r="AO619" s="94"/>
      <c r="AP619" s="94"/>
      <c r="AQ619" s="94"/>
      <c r="AR619" s="94"/>
      <c r="AS619" s="207"/>
    </row>
    <row r="620" spans="13:45" ht="12.75">
      <c r="M620" s="104"/>
      <c r="O620" s="206" t="s">
        <v>2392</v>
      </c>
      <c r="P620" s="94" t="s">
        <v>3029</v>
      </c>
      <c r="Q620" s="180">
        <v>581050</v>
      </c>
      <c r="R620" s="258">
        <v>5000</v>
      </c>
      <c r="S620" s="259">
        <v>150</v>
      </c>
      <c r="T620" s="213" t="s">
        <v>5012</v>
      </c>
      <c r="U620" s="213">
        <v>3</v>
      </c>
      <c r="V620" s="213" t="s">
        <v>3443</v>
      </c>
      <c r="W620" s="213" t="s">
        <v>3572</v>
      </c>
      <c r="X620" s="213" t="s">
        <v>3441</v>
      </c>
      <c r="Y620" s="213" t="s">
        <v>4999</v>
      </c>
      <c r="Z620" s="213" t="s">
        <v>1406</v>
      </c>
      <c r="AA620" s="213">
        <v>100</v>
      </c>
      <c r="AB620" s="213">
        <v>125</v>
      </c>
      <c r="AC620" s="207" t="s">
        <v>4530</v>
      </c>
      <c r="AD620"/>
      <c r="AE620" s="206"/>
      <c r="AF620" s="94"/>
      <c r="AG620" s="94"/>
      <c r="AH620" s="94"/>
      <c r="AI620" s="94"/>
      <c r="AJ620" s="94"/>
      <c r="AK620" s="94"/>
      <c r="AL620" s="94"/>
      <c r="AM620" s="254"/>
      <c r="AN620" s="254"/>
      <c r="AO620" s="94"/>
      <c r="AP620" s="94"/>
      <c r="AQ620" s="94"/>
      <c r="AR620" s="94"/>
      <c r="AS620" s="207"/>
    </row>
    <row r="621" spans="13:45" ht="12.75">
      <c r="M621" s="104"/>
      <c r="O621" s="206" t="s">
        <v>2393</v>
      </c>
      <c r="P621" s="94" t="s">
        <v>3840</v>
      </c>
      <c r="Q621" s="180">
        <v>573832</v>
      </c>
      <c r="R621" s="258">
        <v>5000</v>
      </c>
      <c r="S621" s="259">
        <v>150</v>
      </c>
      <c r="T621" s="213" t="s">
        <v>5012</v>
      </c>
      <c r="U621" s="213">
        <v>3</v>
      </c>
      <c r="V621" s="213" t="s">
        <v>3443</v>
      </c>
      <c r="W621" s="213" t="s">
        <v>3572</v>
      </c>
      <c r="X621" s="213" t="s">
        <v>3441</v>
      </c>
      <c r="Y621" s="213" t="s">
        <v>4996</v>
      </c>
      <c r="Z621" s="213" t="s">
        <v>1406</v>
      </c>
      <c r="AA621" s="213">
        <v>100</v>
      </c>
      <c r="AB621" s="213">
        <v>125</v>
      </c>
      <c r="AC621" s="207" t="s">
        <v>4530</v>
      </c>
      <c r="AD621"/>
      <c r="AE621" s="206"/>
      <c r="AF621" s="94"/>
      <c r="AG621" s="94"/>
      <c r="AH621" s="94"/>
      <c r="AI621" s="94"/>
      <c r="AJ621" s="94"/>
      <c r="AK621" s="94"/>
      <c r="AL621" s="94"/>
      <c r="AM621" s="254"/>
      <c r="AN621" s="254"/>
      <c r="AO621" s="94"/>
      <c r="AP621" s="94"/>
      <c r="AQ621" s="94"/>
      <c r="AR621" s="94"/>
      <c r="AS621" s="207"/>
    </row>
    <row r="622" spans="13:45" ht="12.75">
      <c r="M622" s="104"/>
      <c r="O622" s="206" t="s">
        <v>2394</v>
      </c>
      <c r="P622" s="94" t="s">
        <v>3841</v>
      </c>
      <c r="Q622" s="180">
        <v>605260</v>
      </c>
      <c r="R622" s="258">
        <v>5000</v>
      </c>
      <c r="S622" s="259">
        <v>150</v>
      </c>
      <c r="T622" s="213" t="s">
        <v>5012</v>
      </c>
      <c r="U622" s="213">
        <v>3</v>
      </c>
      <c r="V622" s="213" t="s">
        <v>3443</v>
      </c>
      <c r="W622" s="213" t="s">
        <v>3572</v>
      </c>
      <c r="X622" s="213" t="s">
        <v>3445</v>
      </c>
      <c r="Y622" s="213" t="s">
        <v>4999</v>
      </c>
      <c r="Z622" s="213" t="s">
        <v>1406</v>
      </c>
      <c r="AA622" s="213">
        <v>100</v>
      </c>
      <c r="AB622" s="213">
        <v>125</v>
      </c>
      <c r="AC622" s="207" t="s">
        <v>4530</v>
      </c>
      <c r="AD622"/>
      <c r="AE622" s="206"/>
      <c r="AF622" s="94"/>
      <c r="AG622" s="94"/>
      <c r="AH622" s="94"/>
      <c r="AI622" s="94"/>
      <c r="AJ622" s="94"/>
      <c r="AK622" s="94"/>
      <c r="AL622" s="94"/>
      <c r="AM622" s="254"/>
      <c r="AN622" s="254"/>
      <c r="AO622" s="94"/>
      <c r="AP622" s="94"/>
      <c r="AQ622" s="94"/>
      <c r="AR622" s="94"/>
      <c r="AS622" s="207"/>
    </row>
    <row r="623" spans="13:45" ht="12.75">
      <c r="M623" s="104"/>
      <c r="O623" s="206" t="s">
        <v>2395</v>
      </c>
      <c r="P623" s="94" t="s">
        <v>3842</v>
      </c>
      <c r="Q623" s="180">
        <v>598042</v>
      </c>
      <c r="R623" s="258">
        <v>5000</v>
      </c>
      <c r="S623" s="259">
        <v>150</v>
      </c>
      <c r="T623" s="213" t="s">
        <v>5012</v>
      </c>
      <c r="U623" s="213">
        <v>3</v>
      </c>
      <c r="V623" s="213" t="s">
        <v>3443</v>
      </c>
      <c r="W623" s="213" t="s">
        <v>3572</v>
      </c>
      <c r="X623" s="213" t="s">
        <v>3445</v>
      </c>
      <c r="Y623" s="213" t="s">
        <v>4996</v>
      </c>
      <c r="Z623" s="213" t="s">
        <v>1406</v>
      </c>
      <c r="AA623" s="213">
        <v>100</v>
      </c>
      <c r="AB623" s="213">
        <v>125</v>
      </c>
      <c r="AC623" s="207" t="s">
        <v>4530</v>
      </c>
      <c r="AD623"/>
      <c r="AE623" s="206"/>
      <c r="AF623" s="94"/>
      <c r="AG623" s="94"/>
      <c r="AH623" s="94"/>
      <c r="AI623" s="94"/>
      <c r="AJ623" s="94"/>
      <c r="AK623" s="94"/>
      <c r="AL623" s="94"/>
      <c r="AM623" s="254"/>
      <c r="AN623" s="254"/>
      <c r="AO623" s="94"/>
      <c r="AP623" s="94"/>
      <c r="AQ623" s="94"/>
      <c r="AR623" s="94"/>
      <c r="AS623" s="207"/>
    </row>
    <row r="624" spans="13:45" ht="12.75">
      <c r="M624" s="104"/>
      <c r="O624" s="206" t="s">
        <v>2396</v>
      </c>
      <c r="P624" s="94" t="s">
        <v>3843</v>
      </c>
      <c r="Q624" s="180">
        <v>686944</v>
      </c>
      <c r="R624" s="258">
        <v>6300</v>
      </c>
      <c r="S624" s="259">
        <v>100</v>
      </c>
      <c r="T624" s="213" t="s">
        <v>5012</v>
      </c>
      <c r="U624" s="213">
        <v>3</v>
      </c>
      <c r="V624" s="213" t="s">
        <v>3443</v>
      </c>
      <c r="W624" s="213" t="s">
        <v>3572</v>
      </c>
      <c r="X624" s="213" t="s">
        <v>3441</v>
      </c>
      <c r="Y624" s="213" t="s">
        <v>4995</v>
      </c>
      <c r="Z624" s="213" t="s">
        <v>3531</v>
      </c>
      <c r="AA624" s="213">
        <v>100</v>
      </c>
      <c r="AB624" s="213">
        <v>100</v>
      </c>
      <c r="AC624" s="207" t="s">
        <v>4530</v>
      </c>
      <c r="AD624"/>
      <c r="AE624" s="206"/>
      <c r="AF624" s="94"/>
      <c r="AG624" s="94"/>
      <c r="AH624" s="94"/>
      <c r="AI624" s="94"/>
      <c r="AJ624" s="94"/>
      <c r="AK624" s="94"/>
      <c r="AL624" s="94"/>
      <c r="AM624" s="254"/>
      <c r="AN624" s="254"/>
      <c r="AO624" s="94"/>
      <c r="AP624" s="94"/>
      <c r="AQ624" s="94"/>
      <c r="AR624" s="94"/>
      <c r="AS624" s="207"/>
    </row>
    <row r="625" spans="13:45" ht="12.75">
      <c r="M625" s="104"/>
      <c r="O625" s="206" t="s">
        <v>2397</v>
      </c>
      <c r="P625" s="94" t="s">
        <v>3844</v>
      </c>
      <c r="Q625" s="180">
        <v>699793</v>
      </c>
      <c r="R625" s="258">
        <v>6300</v>
      </c>
      <c r="S625" s="259">
        <v>100</v>
      </c>
      <c r="T625" s="213" t="s">
        <v>5012</v>
      </c>
      <c r="U625" s="213">
        <v>3</v>
      </c>
      <c r="V625" s="213" t="s">
        <v>3443</v>
      </c>
      <c r="W625" s="213" t="s">
        <v>3572</v>
      </c>
      <c r="X625" s="213" t="s">
        <v>3441</v>
      </c>
      <c r="Y625" s="213" t="s">
        <v>4999</v>
      </c>
      <c r="Z625" s="213" t="s">
        <v>3531</v>
      </c>
      <c r="AA625" s="213">
        <v>100</v>
      </c>
      <c r="AB625" s="213">
        <v>100</v>
      </c>
      <c r="AC625" s="207" t="s">
        <v>4530</v>
      </c>
      <c r="AD625"/>
      <c r="AE625" s="206"/>
      <c r="AF625" s="94"/>
      <c r="AG625" s="94"/>
      <c r="AH625" s="94"/>
      <c r="AI625" s="94"/>
      <c r="AJ625" s="94"/>
      <c r="AK625" s="94"/>
      <c r="AL625" s="94"/>
      <c r="AM625" s="254"/>
      <c r="AN625" s="254"/>
      <c r="AO625" s="94"/>
      <c r="AP625" s="94"/>
      <c r="AQ625" s="94"/>
      <c r="AR625" s="94"/>
      <c r="AS625" s="207"/>
    </row>
    <row r="626" spans="13:45" ht="12.75">
      <c r="M626" s="104"/>
      <c r="O626" s="206" t="s">
        <v>2398</v>
      </c>
      <c r="P626" s="94" t="s">
        <v>3845</v>
      </c>
      <c r="Q626" s="180">
        <v>692576</v>
      </c>
      <c r="R626" s="258">
        <v>6300</v>
      </c>
      <c r="S626" s="259">
        <v>100</v>
      </c>
      <c r="T626" s="213" t="s">
        <v>5012</v>
      </c>
      <c r="U626" s="213">
        <v>3</v>
      </c>
      <c r="V626" s="213" t="s">
        <v>3443</v>
      </c>
      <c r="W626" s="213" t="s">
        <v>3572</v>
      </c>
      <c r="X626" s="213" t="s">
        <v>3441</v>
      </c>
      <c r="Y626" s="213" t="s">
        <v>4996</v>
      </c>
      <c r="Z626" s="213" t="s">
        <v>3531</v>
      </c>
      <c r="AA626" s="213">
        <v>100</v>
      </c>
      <c r="AB626" s="213">
        <v>100</v>
      </c>
      <c r="AC626" s="207" t="s">
        <v>4530</v>
      </c>
      <c r="AD626"/>
      <c r="AE626" s="206"/>
      <c r="AF626" s="94"/>
      <c r="AG626" s="94"/>
      <c r="AH626" s="94"/>
      <c r="AI626" s="94"/>
      <c r="AJ626" s="94"/>
      <c r="AK626" s="94"/>
      <c r="AL626" s="94"/>
      <c r="AM626" s="254"/>
      <c r="AN626" s="254"/>
      <c r="AO626" s="94"/>
      <c r="AP626" s="94"/>
      <c r="AQ626" s="94"/>
      <c r="AR626" s="94"/>
      <c r="AS626" s="207"/>
    </row>
    <row r="627" spans="13:45" ht="12.75">
      <c r="M627" s="104"/>
      <c r="O627" s="206" t="s">
        <v>2399</v>
      </c>
      <c r="P627" s="94" t="s">
        <v>3846</v>
      </c>
      <c r="Q627" s="180">
        <v>724002</v>
      </c>
      <c r="R627" s="258">
        <v>6300</v>
      </c>
      <c r="S627" s="259">
        <v>100</v>
      </c>
      <c r="T627" s="213" t="s">
        <v>5012</v>
      </c>
      <c r="U627" s="213">
        <v>3</v>
      </c>
      <c r="V627" s="213" t="s">
        <v>3443</v>
      </c>
      <c r="W627" s="213" t="s">
        <v>3572</v>
      </c>
      <c r="X627" s="213" t="s">
        <v>3445</v>
      </c>
      <c r="Y627" s="213" t="s">
        <v>4999</v>
      </c>
      <c r="Z627" s="213" t="s">
        <v>3531</v>
      </c>
      <c r="AA627" s="213">
        <v>100</v>
      </c>
      <c r="AB627" s="213">
        <v>100</v>
      </c>
      <c r="AC627" s="207" t="s">
        <v>4530</v>
      </c>
      <c r="AD627"/>
      <c r="AE627" s="206"/>
      <c r="AF627" s="94"/>
      <c r="AG627" s="94"/>
      <c r="AH627" s="94"/>
      <c r="AI627" s="94"/>
      <c r="AJ627" s="94"/>
      <c r="AK627" s="94"/>
      <c r="AL627" s="94"/>
      <c r="AM627" s="254"/>
      <c r="AN627" s="254"/>
      <c r="AO627" s="94"/>
      <c r="AP627" s="94"/>
      <c r="AQ627" s="94"/>
      <c r="AR627" s="94"/>
      <c r="AS627" s="207"/>
    </row>
    <row r="628" spans="13:45" ht="12.75">
      <c r="M628" s="104"/>
      <c r="O628" s="206" t="s">
        <v>2400</v>
      </c>
      <c r="P628" s="94" t="s">
        <v>3847</v>
      </c>
      <c r="Q628" s="180">
        <v>716785</v>
      </c>
      <c r="R628" s="258">
        <v>6300</v>
      </c>
      <c r="S628" s="259">
        <v>100</v>
      </c>
      <c r="T628" s="213" t="s">
        <v>5012</v>
      </c>
      <c r="U628" s="213">
        <v>3</v>
      </c>
      <c r="V628" s="213" t="s">
        <v>3443</v>
      </c>
      <c r="W628" s="213" t="s">
        <v>3572</v>
      </c>
      <c r="X628" s="213" t="s">
        <v>3445</v>
      </c>
      <c r="Y628" s="213" t="s">
        <v>4996</v>
      </c>
      <c r="Z628" s="213" t="s">
        <v>3531</v>
      </c>
      <c r="AA628" s="213">
        <v>100</v>
      </c>
      <c r="AB628" s="213">
        <v>100</v>
      </c>
      <c r="AC628" s="207" t="s">
        <v>4530</v>
      </c>
      <c r="AD628"/>
      <c r="AE628" s="206"/>
      <c r="AF628" s="94"/>
      <c r="AG628" s="94"/>
      <c r="AH628" s="94"/>
      <c r="AI628" s="94"/>
      <c r="AJ628" s="94"/>
      <c r="AK628" s="94"/>
      <c r="AL628" s="94"/>
      <c r="AM628" s="254"/>
      <c r="AN628" s="254"/>
      <c r="AO628" s="94"/>
      <c r="AP628" s="94"/>
      <c r="AQ628" s="94"/>
      <c r="AR628" s="94"/>
      <c r="AS628" s="207"/>
    </row>
    <row r="629" spans="13:45" ht="12.75">
      <c r="M629" s="104"/>
      <c r="O629" s="206" t="s">
        <v>2401</v>
      </c>
      <c r="P629" s="94" t="s">
        <v>3848</v>
      </c>
      <c r="Q629" s="180">
        <v>853423</v>
      </c>
      <c r="R629" s="258">
        <v>6300</v>
      </c>
      <c r="S629" s="259">
        <v>150</v>
      </c>
      <c r="T629" s="213" t="s">
        <v>5012</v>
      </c>
      <c r="U629" s="213">
        <v>3</v>
      </c>
      <c r="V629" s="213" t="s">
        <v>3443</v>
      </c>
      <c r="W629" s="213" t="s">
        <v>3572</v>
      </c>
      <c r="X629" s="213" t="s">
        <v>3441</v>
      </c>
      <c r="Y629" s="213" t="s">
        <v>4995</v>
      </c>
      <c r="Z629" s="213" t="s">
        <v>1406</v>
      </c>
      <c r="AA629" s="213">
        <v>100</v>
      </c>
      <c r="AB629" s="213">
        <v>125</v>
      </c>
      <c r="AC629" s="207" t="s">
        <v>4530</v>
      </c>
      <c r="AD629"/>
      <c r="AE629" s="206"/>
      <c r="AF629" s="94"/>
      <c r="AG629" s="94"/>
      <c r="AH629" s="94"/>
      <c r="AI629" s="94"/>
      <c r="AJ629" s="94"/>
      <c r="AK629" s="94"/>
      <c r="AL629" s="94"/>
      <c r="AM629" s="254"/>
      <c r="AN629" s="254"/>
      <c r="AO629" s="94"/>
      <c r="AP629" s="94"/>
      <c r="AQ629" s="94"/>
      <c r="AR629" s="94"/>
      <c r="AS629" s="207"/>
    </row>
    <row r="630" spans="13:45" ht="12.75">
      <c r="M630" s="104"/>
      <c r="O630" s="206" t="s">
        <v>2402</v>
      </c>
      <c r="P630" s="94" t="s">
        <v>3849</v>
      </c>
      <c r="Q630" s="180">
        <v>866272</v>
      </c>
      <c r="R630" s="258">
        <v>6300</v>
      </c>
      <c r="S630" s="259">
        <v>150</v>
      </c>
      <c r="T630" s="213" t="s">
        <v>5012</v>
      </c>
      <c r="U630" s="213">
        <v>3</v>
      </c>
      <c r="V630" s="213" t="s">
        <v>3443</v>
      </c>
      <c r="W630" s="213" t="s">
        <v>3572</v>
      </c>
      <c r="X630" s="213" t="s">
        <v>3441</v>
      </c>
      <c r="Y630" s="213" t="s">
        <v>4999</v>
      </c>
      <c r="Z630" s="213" t="s">
        <v>1406</v>
      </c>
      <c r="AA630" s="213">
        <v>100</v>
      </c>
      <c r="AB630" s="213">
        <v>125</v>
      </c>
      <c r="AC630" s="207" t="s">
        <v>4530</v>
      </c>
      <c r="AD630"/>
      <c r="AE630" s="206"/>
      <c r="AF630" s="94"/>
      <c r="AG630" s="94"/>
      <c r="AH630" s="94"/>
      <c r="AI630" s="94"/>
      <c r="AJ630" s="94"/>
      <c r="AK630" s="94"/>
      <c r="AL630" s="94"/>
      <c r="AM630" s="254"/>
      <c r="AN630" s="254"/>
      <c r="AO630" s="94"/>
      <c r="AP630" s="94"/>
      <c r="AQ630" s="94"/>
      <c r="AR630" s="94"/>
      <c r="AS630" s="207"/>
    </row>
    <row r="631" spans="13:45" ht="12.75">
      <c r="M631" s="104"/>
      <c r="O631" s="206" t="s">
        <v>2403</v>
      </c>
      <c r="P631" s="94" t="s">
        <v>3850</v>
      </c>
      <c r="Q631" s="180">
        <v>859054</v>
      </c>
      <c r="R631" s="258">
        <v>6300</v>
      </c>
      <c r="S631" s="259">
        <v>150</v>
      </c>
      <c r="T631" s="213" t="s">
        <v>5012</v>
      </c>
      <c r="U631" s="213">
        <v>3</v>
      </c>
      <c r="V631" s="213" t="s">
        <v>3443</v>
      </c>
      <c r="W631" s="213" t="s">
        <v>3572</v>
      </c>
      <c r="X631" s="213" t="s">
        <v>3441</v>
      </c>
      <c r="Y631" s="213" t="s">
        <v>4996</v>
      </c>
      <c r="Z631" s="213" t="s">
        <v>1406</v>
      </c>
      <c r="AA631" s="213">
        <v>100</v>
      </c>
      <c r="AB631" s="213">
        <v>125</v>
      </c>
      <c r="AC631" s="207" t="s">
        <v>4530</v>
      </c>
      <c r="AD631"/>
      <c r="AE631" s="206"/>
      <c r="AF631" s="94"/>
      <c r="AG631" s="94"/>
      <c r="AH631" s="94"/>
      <c r="AI631" s="94"/>
      <c r="AJ631" s="94"/>
      <c r="AK631" s="94"/>
      <c r="AL631" s="94"/>
      <c r="AM631" s="254"/>
      <c r="AN631" s="254"/>
      <c r="AO631" s="94"/>
      <c r="AP631" s="94"/>
      <c r="AQ631" s="94"/>
      <c r="AR631" s="94"/>
      <c r="AS631" s="207"/>
    </row>
    <row r="632" spans="13:45" ht="12.75">
      <c r="M632" s="104"/>
      <c r="O632" s="206" t="s">
        <v>2404</v>
      </c>
      <c r="P632" s="94" t="s">
        <v>3851</v>
      </c>
      <c r="Q632" s="180">
        <v>890481</v>
      </c>
      <c r="R632" s="258">
        <v>6300</v>
      </c>
      <c r="S632" s="259">
        <v>150</v>
      </c>
      <c r="T632" s="213" t="s">
        <v>5012</v>
      </c>
      <c r="U632" s="213">
        <v>3</v>
      </c>
      <c r="V632" s="213" t="s">
        <v>3443</v>
      </c>
      <c r="W632" s="213" t="s">
        <v>3572</v>
      </c>
      <c r="X632" s="213" t="s">
        <v>3445</v>
      </c>
      <c r="Y632" s="213" t="s">
        <v>4999</v>
      </c>
      <c r="Z632" s="213" t="s">
        <v>1406</v>
      </c>
      <c r="AA632" s="213">
        <v>100</v>
      </c>
      <c r="AB632" s="213">
        <v>125</v>
      </c>
      <c r="AC632" s="207" t="s">
        <v>4530</v>
      </c>
      <c r="AD632"/>
      <c r="AE632" s="206"/>
      <c r="AF632" s="94"/>
      <c r="AG632" s="94"/>
      <c r="AH632" s="94"/>
      <c r="AI632" s="94"/>
      <c r="AJ632" s="94"/>
      <c r="AK632" s="94"/>
      <c r="AL632" s="94"/>
      <c r="AM632" s="254"/>
      <c r="AN632" s="254"/>
      <c r="AO632" s="94"/>
      <c r="AP632" s="94"/>
      <c r="AQ632" s="94"/>
      <c r="AR632" s="94"/>
      <c r="AS632" s="207"/>
    </row>
    <row r="633" spans="13:45" ht="12.75">
      <c r="M633" s="104"/>
      <c r="O633" s="206" t="s">
        <v>2405</v>
      </c>
      <c r="P633" s="94" t="s">
        <v>3852</v>
      </c>
      <c r="Q633" s="180">
        <v>883264</v>
      </c>
      <c r="R633" s="258">
        <v>6300</v>
      </c>
      <c r="S633" s="259">
        <v>150</v>
      </c>
      <c r="T633" s="213" t="s">
        <v>5012</v>
      </c>
      <c r="U633" s="213">
        <v>3</v>
      </c>
      <c r="V633" s="213" t="s">
        <v>3443</v>
      </c>
      <c r="W633" s="213" t="s">
        <v>3572</v>
      </c>
      <c r="X633" s="213" t="s">
        <v>3445</v>
      </c>
      <c r="Y633" s="213" t="s">
        <v>4996</v>
      </c>
      <c r="Z633" s="213" t="s">
        <v>1406</v>
      </c>
      <c r="AA633" s="213">
        <v>100</v>
      </c>
      <c r="AB633" s="213">
        <v>125</v>
      </c>
      <c r="AC633" s="207" t="s">
        <v>4530</v>
      </c>
      <c r="AD633"/>
      <c r="AE633" s="206"/>
      <c r="AF633" s="94"/>
      <c r="AG633" s="94"/>
      <c r="AH633" s="94"/>
      <c r="AI633" s="94"/>
      <c r="AJ633" s="94"/>
      <c r="AK633" s="94"/>
      <c r="AL633" s="94"/>
      <c r="AM633" s="254"/>
      <c r="AN633" s="254"/>
      <c r="AO633" s="94"/>
      <c r="AP633" s="94"/>
      <c r="AQ633" s="94"/>
      <c r="AR633" s="94"/>
      <c r="AS633" s="207"/>
    </row>
    <row r="634" spans="13:45" ht="12.75">
      <c r="M634" s="104"/>
      <c r="O634" s="206" t="s">
        <v>3833</v>
      </c>
      <c r="P634" s="94" t="s">
        <v>4615</v>
      </c>
      <c r="Q634" s="180">
        <v>628292</v>
      </c>
      <c r="R634" s="258">
        <v>3200</v>
      </c>
      <c r="S634" s="259">
        <v>150</v>
      </c>
      <c r="T634" s="213" t="s">
        <v>5012</v>
      </c>
      <c r="U634" s="213">
        <v>4</v>
      </c>
      <c r="V634" s="213" t="s">
        <v>3439</v>
      </c>
      <c r="W634" s="213" t="s">
        <v>3361</v>
      </c>
      <c r="X634" s="213" t="s">
        <v>3441</v>
      </c>
      <c r="Y634" s="213" t="s">
        <v>4995</v>
      </c>
      <c r="Z634" s="213" t="s">
        <v>1406</v>
      </c>
      <c r="AA634" s="213">
        <v>100</v>
      </c>
      <c r="AB634" s="213">
        <v>125</v>
      </c>
      <c r="AC634" s="207" t="s">
        <v>4530</v>
      </c>
      <c r="AD634"/>
      <c r="AE634" s="206"/>
      <c r="AF634" s="94"/>
      <c r="AG634" s="94"/>
      <c r="AH634" s="94"/>
      <c r="AI634" s="94"/>
      <c r="AJ634" s="94"/>
      <c r="AK634" s="94"/>
      <c r="AL634" s="94"/>
      <c r="AM634" s="254"/>
      <c r="AN634" s="254"/>
      <c r="AO634" s="94"/>
      <c r="AP634" s="94"/>
      <c r="AQ634" s="94"/>
      <c r="AR634" s="94"/>
      <c r="AS634" s="207"/>
    </row>
    <row r="635" spans="13:45" ht="12.75">
      <c r="M635" s="104"/>
      <c r="O635" s="206" t="s">
        <v>3836</v>
      </c>
      <c r="P635" s="94" t="s">
        <v>4618</v>
      </c>
      <c r="Q635" s="180">
        <v>641139</v>
      </c>
      <c r="R635" s="258">
        <v>3200</v>
      </c>
      <c r="S635" s="259">
        <v>150</v>
      </c>
      <c r="T635" s="213" t="s">
        <v>5012</v>
      </c>
      <c r="U635" s="213">
        <v>4</v>
      </c>
      <c r="V635" s="213" t="s">
        <v>3439</v>
      </c>
      <c r="W635" s="213" t="s">
        <v>3361</v>
      </c>
      <c r="X635" s="213" t="s">
        <v>3441</v>
      </c>
      <c r="Y635" s="213" t="s">
        <v>4999</v>
      </c>
      <c r="Z635" s="213" t="s">
        <v>1406</v>
      </c>
      <c r="AA635" s="213">
        <v>100</v>
      </c>
      <c r="AB635" s="213">
        <v>125</v>
      </c>
      <c r="AC635" s="207" t="s">
        <v>4530</v>
      </c>
      <c r="AD635"/>
      <c r="AE635" s="206"/>
      <c r="AF635" s="94"/>
      <c r="AG635" s="94"/>
      <c r="AH635" s="94"/>
      <c r="AI635" s="94"/>
      <c r="AJ635" s="94"/>
      <c r="AK635" s="94"/>
      <c r="AL635" s="94"/>
      <c r="AM635" s="254"/>
      <c r="AN635" s="254"/>
      <c r="AO635" s="94"/>
      <c r="AP635" s="94"/>
      <c r="AQ635" s="94"/>
      <c r="AR635" s="94"/>
      <c r="AS635" s="207"/>
    </row>
    <row r="636" spans="13:45" ht="12.75">
      <c r="M636" s="104"/>
      <c r="O636" s="206" t="s">
        <v>3839</v>
      </c>
      <c r="P636" s="94" t="s">
        <v>4621</v>
      </c>
      <c r="Q636" s="180">
        <v>633923</v>
      </c>
      <c r="R636" s="258">
        <v>3200</v>
      </c>
      <c r="S636" s="259">
        <v>150</v>
      </c>
      <c r="T636" s="213" t="s">
        <v>5012</v>
      </c>
      <c r="U636" s="213">
        <v>4</v>
      </c>
      <c r="V636" s="213" t="s">
        <v>3439</v>
      </c>
      <c r="W636" s="213" t="s">
        <v>3361</v>
      </c>
      <c r="X636" s="213" t="s">
        <v>3441</v>
      </c>
      <c r="Y636" s="213" t="s">
        <v>4996</v>
      </c>
      <c r="Z636" s="213" t="s">
        <v>1406</v>
      </c>
      <c r="AA636" s="213">
        <v>100</v>
      </c>
      <c r="AB636" s="213">
        <v>125</v>
      </c>
      <c r="AC636" s="207" t="s">
        <v>4530</v>
      </c>
      <c r="AD636"/>
      <c r="AE636" s="206"/>
      <c r="AF636" s="94"/>
      <c r="AG636" s="94"/>
      <c r="AH636" s="94"/>
      <c r="AI636" s="94"/>
      <c r="AJ636" s="94"/>
      <c r="AK636" s="94"/>
      <c r="AL636" s="94"/>
      <c r="AM636" s="254"/>
      <c r="AN636" s="254"/>
      <c r="AO636" s="94"/>
      <c r="AP636" s="94"/>
      <c r="AQ636" s="94"/>
      <c r="AR636" s="94"/>
      <c r="AS636" s="207"/>
    </row>
    <row r="637" spans="13:45" ht="12.75">
      <c r="M637" s="104"/>
      <c r="O637" s="206" t="s">
        <v>1438</v>
      </c>
      <c r="P637" s="94" t="s">
        <v>4624</v>
      </c>
      <c r="Q637" s="180">
        <v>665348</v>
      </c>
      <c r="R637" s="258">
        <v>3200</v>
      </c>
      <c r="S637" s="259">
        <v>150</v>
      </c>
      <c r="T637" s="213" t="s">
        <v>5012</v>
      </c>
      <c r="U637" s="213">
        <v>4</v>
      </c>
      <c r="V637" s="213" t="s">
        <v>3439</v>
      </c>
      <c r="W637" s="213" t="s">
        <v>3361</v>
      </c>
      <c r="X637" s="213" t="s">
        <v>3445</v>
      </c>
      <c r="Y637" s="213" t="s">
        <v>4999</v>
      </c>
      <c r="Z637" s="213" t="s">
        <v>1406</v>
      </c>
      <c r="AA637" s="213">
        <v>100</v>
      </c>
      <c r="AB637" s="213">
        <v>125</v>
      </c>
      <c r="AC637" s="207" t="s">
        <v>4530</v>
      </c>
      <c r="AD637"/>
      <c r="AE637" s="206"/>
      <c r="AF637" s="94"/>
      <c r="AG637" s="94"/>
      <c r="AH637" s="94"/>
      <c r="AI637" s="94"/>
      <c r="AJ637" s="94"/>
      <c r="AK637" s="94"/>
      <c r="AL637" s="94"/>
      <c r="AM637" s="254"/>
      <c r="AN637" s="254"/>
      <c r="AO637" s="94"/>
      <c r="AP637" s="94"/>
      <c r="AQ637" s="94"/>
      <c r="AR637" s="94"/>
      <c r="AS637" s="207"/>
    </row>
    <row r="638" spans="13:45" ht="12.75">
      <c r="M638" s="104"/>
      <c r="O638" s="206" t="s">
        <v>1441</v>
      </c>
      <c r="P638" s="94" t="s">
        <v>2162</v>
      </c>
      <c r="Q638" s="180">
        <v>658131</v>
      </c>
      <c r="R638" s="258">
        <v>3200</v>
      </c>
      <c r="S638" s="259">
        <v>150</v>
      </c>
      <c r="T638" s="213" t="s">
        <v>5012</v>
      </c>
      <c r="U638" s="213">
        <v>4</v>
      </c>
      <c r="V638" s="213" t="s">
        <v>3439</v>
      </c>
      <c r="W638" s="213" t="s">
        <v>3361</v>
      </c>
      <c r="X638" s="213" t="s">
        <v>3445</v>
      </c>
      <c r="Y638" s="213" t="s">
        <v>4996</v>
      </c>
      <c r="Z638" s="213" t="s">
        <v>1406</v>
      </c>
      <c r="AA638" s="213">
        <v>100</v>
      </c>
      <c r="AB638" s="213">
        <v>125</v>
      </c>
      <c r="AC638" s="207" t="s">
        <v>4530</v>
      </c>
      <c r="AD638"/>
      <c r="AE638" s="206"/>
      <c r="AF638" s="94"/>
      <c r="AG638" s="94"/>
      <c r="AH638" s="94"/>
      <c r="AI638" s="94"/>
      <c r="AJ638" s="94"/>
      <c r="AK638" s="94"/>
      <c r="AL638" s="94"/>
      <c r="AM638" s="254"/>
      <c r="AN638" s="254"/>
      <c r="AO638" s="94"/>
      <c r="AP638" s="94"/>
      <c r="AQ638" s="94"/>
      <c r="AR638" s="94"/>
      <c r="AS638" s="207"/>
    </row>
    <row r="639" spans="13:45" ht="12.75">
      <c r="M639" s="104"/>
      <c r="O639" s="206" t="s">
        <v>1444</v>
      </c>
      <c r="P639" s="94" t="s">
        <v>2165</v>
      </c>
      <c r="Q639" s="180">
        <v>661360</v>
      </c>
      <c r="R639" s="258">
        <v>4000</v>
      </c>
      <c r="S639" s="259">
        <v>150</v>
      </c>
      <c r="T639" s="213" t="s">
        <v>5012</v>
      </c>
      <c r="U639" s="213">
        <v>4</v>
      </c>
      <c r="V639" s="213" t="s">
        <v>3439</v>
      </c>
      <c r="W639" s="213" t="s">
        <v>3361</v>
      </c>
      <c r="X639" s="213" t="s">
        <v>3441</v>
      </c>
      <c r="Y639" s="213" t="s">
        <v>4995</v>
      </c>
      <c r="Z639" s="213" t="s">
        <v>1406</v>
      </c>
      <c r="AA639" s="213">
        <v>100</v>
      </c>
      <c r="AB639" s="213">
        <v>125</v>
      </c>
      <c r="AC639" s="207" t="s">
        <v>4530</v>
      </c>
      <c r="AD639"/>
      <c r="AE639" s="206"/>
      <c r="AF639" s="94"/>
      <c r="AG639" s="94"/>
      <c r="AH639" s="94"/>
      <c r="AI639" s="94"/>
      <c r="AJ639" s="94"/>
      <c r="AK639" s="94"/>
      <c r="AL639" s="94"/>
      <c r="AM639" s="254"/>
      <c r="AN639" s="254"/>
      <c r="AO639" s="94"/>
      <c r="AP639" s="94"/>
      <c r="AQ639" s="94"/>
      <c r="AR639" s="94"/>
      <c r="AS639" s="207"/>
    </row>
    <row r="640" spans="13:45" ht="12.75">
      <c r="M640" s="104"/>
      <c r="O640" s="206" t="s">
        <v>1447</v>
      </c>
      <c r="P640" s="94" t="s">
        <v>2235</v>
      </c>
      <c r="Q640" s="180">
        <v>674208</v>
      </c>
      <c r="R640" s="258">
        <v>4000</v>
      </c>
      <c r="S640" s="259">
        <v>150</v>
      </c>
      <c r="T640" s="213" t="s">
        <v>5012</v>
      </c>
      <c r="U640" s="213">
        <v>4</v>
      </c>
      <c r="V640" s="213" t="s">
        <v>3439</v>
      </c>
      <c r="W640" s="213" t="s">
        <v>3361</v>
      </c>
      <c r="X640" s="213" t="s">
        <v>3441</v>
      </c>
      <c r="Y640" s="213" t="s">
        <v>4999</v>
      </c>
      <c r="Z640" s="213" t="s">
        <v>1406</v>
      </c>
      <c r="AA640" s="213">
        <v>100</v>
      </c>
      <c r="AB640" s="213">
        <v>125</v>
      </c>
      <c r="AC640" s="207" t="s">
        <v>4530</v>
      </c>
      <c r="AD640"/>
      <c r="AE640" s="206"/>
      <c r="AF640" s="94"/>
      <c r="AG640" s="94"/>
      <c r="AH640" s="94"/>
      <c r="AI640" s="94"/>
      <c r="AJ640" s="94"/>
      <c r="AK640" s="94"/>
      <c r="AL640" s="94"/>
      <c r="AM640" s="254"/>
      <c r="AN640" s="254"/>
      <c r="AO640" s="94"/>
      <c r="AP640" s="94"/>
      <c r="AQ640" s="94"/>
      <c r="AR640" s="94"/>
      <c r="AS640" s="207"/>
    </row>
    <row r="641" spans="13:45" ht="12.75">
      <c r="M641" s="104"/>
      <c r="O641" s="206" t="s">
        <v>1450</v>
      </c>
      <c r="P641" s="94" t="s">
        <v>2238</v>
      </c>
      <c r="Q641" s="180">
        <v>666991</v>
      </c>
      <c r="R641" s="258">
        <v>4000</v>
      </c>
      <c r="S641" s="259">
        <v>150</v>
      </c>
      <c r="T641" s="213" t="s">
        <v>5012</v>
      </c>
      <c r="U641" s="213">
        <v>4</v>
      </c>
      <c r="V641" s="213" t="s">
        <v>3439</v>
      </c>
      <c r="W641" s="213" t="s">
        <v>3361</v>
      </c>
      <c r="X641" s="213" t="s">
        <v>3441</v>
      </c>
      <c r="Y641" s="213" t="s">
        <v>4996</v>
      </c>
      <c r="Z641" s="213" t="s">
        <v>1406</v>
      </c>
      <c r="AA641" s="213">
        <v>100</v>
      </c>
      <c r="AB641" s="213">
        <v>125</v>
      </c>
      <c r="AC641" s="207" t="s">
        <v>4530</v>
      </c>
      <c r="AD641"/>
      <c r="AE641" s="206"/>
      <c r="AF641" s="94"/>
      <c r="AG641" s="94"/>
      <c r="AH641" s="94"/>
      <c r="AI641" s="94"/>
      <c r="AJ641" s="94"/>
      <c r="AK641" s="94"/>
      <c r="AL641" s="94"/>
      <c r="AM641" s="254"/>
      <c r="AN641" s="254"/>
      <c r="AO641" s="94"/>
      <c r="AP641" s="94"/>
      <c r="AQ641" s="94"/>
      <c r="AR641" s="94"/>
      <c r="AS641" s="207"/>
    </row>
    <row r="642" spans="13:45" ht="12.75">
      <c r="M642" s="104"/>
      <c r="O642" s="206" t="s">
        <v>1453</v>
      </c>
      <c r="P642" s="94" t="s">
        <v>725</v>
      </c>
      <c r="Q642" s="180">
        <v>698418</v>
      </c>
      <c r="R642" s="258">
        <v>4000</v>
      </c>
      <c r="S642" s="259">
        <v>150</v>
      </c>
      <c r="T642" s="213" t="s">
        <v>5012</v>
      </c>
      <c r="U642" s="213">
        <v>4</v>
      </c>
      <c r="V642" s="213" t="s">
        <v>3439</v>
      </c>
      <c r="W642" s="213" t="s">
        <v>3361</v>
      </c>
      <c r="X642" s="213" t="s">
        <v>3445</v>
      </c>
      <c r="Y642" s="213" t="s">
        <v>4999</v>
      </c>
      <c r="Z642" s="213" t="s">
        <v>1406</v>
      </c>
      <c r="AA642" s="213">
        <v>100</v>
      </c>
      <c r="AB642" s="213">
        <v>125</v>
      </c>
      <c r="AC642" s="207" t="s">
        <v>4530</v>
      </c>
      <c r="AD642"/>
      <c r="AE642" s="206"/>
      <c r="AF642" s="94"/>
      <c r="AG642" s="94"/>
      <c r="AH642" s="94"/>
      <c r="AI642" s="94"/>
      <c r="AJ642" s="94"/>
      <c r="AK642" s="94"/>
      <c r="AL642" s="94"/>
      <c r="AM642" s="254"/>
      <c r="AN642" s="254"/>
      <c r="AO642" s="94"/>
      <c r="AP642" s="94"/>
      <c r="AQ642" s="94"/>
      <c r="AR642" s="94"/>
      <c r="AS642" s="207"/>
    </row>
    <row r="643" spans="13:45" ht="12.75">
      <c r="M643" s="104"/>
      <c r="O643" s="206" t="s">
        <v>1456</v>
      </c>
      <c r="P643" s="94" t="s">
        <v>728</v>
      </c>
      <c r="Q643" s="180">
        <v>691199</v>
      </c>
      <c r="R643" s="258">
        <v>4000</v>
      </c>
      <c r="S643" s="259">
        <v>150</v>
      </c>
      <c r="T643" s="213" t="s">
        <v>5012</v>
      </c>
      <c r="U643" s="213">
        <v>4</v>
      </c>
      <c r="V643" s="213" t="s">
        <v>3439</v>
      </c>
      <c r="W643" s="213" t="s">
        <v>3361</v>
      </c>
      <c r="X643" s="213" t="s">
        <v>3445</v>
      </c>
      <c r="Y643" s="213" t="s">
        <v>4996</v>
      </c>
      <c r="Z643" s="213" t="s">
        <v>1406</v>
      </c>
      <c r="AA643" s="213">
        <v>100</v>
      </c>
      <c r="AB643" s="213">
        <v>125</v>
      </c>
      <c r="AC643" s="207" t="s">
        <v>4530</v>
      </c>
      <c r="AD643"/>
      <c r="AE643" s="206"/>
      <c r="AF643" s="94"/>
      <c r="AG643" s="94"/>
      <c r="AH643" s="94"/>
      <c r="AI643" s="94"/>
      <c r="AJ643" s="94"/>
      <c r="AK643" s="94"/>
      <c r="AL643" s="94"/>
      <c r="AM643" s="254"/>
      <c r="AN643" s="254"/>
      <c r="AO643" s="94"/>
      <c r="AP643" s="94"/>
      <c r="AQ643" s="94"/>
      <c r="AR643" s="94"/>
      <c r="AS643" s="207"/>
    </row>
    <row r="644" spans="13:45" ht="12.75">
      <c r="M644" s="104"/>
      <c r="O644" s="206" t="s">
        <v>1459</v>
      </c>
      <c r="P644" s="94" t="s">
        <v>753</v>
      </c>
      <c r="Q644" s="180">
        <v>637096</v>
      </c>
      <c r="R644" s="258">
        <v>5000</v>
      </c>
      <c r="S644" s="259">
        <v>100</v>
      </c>
      <c r="T644" s="213" t="s">
        <v>5012</v>
      </c>
      <c r="U644" s="213">
        <v>4</v>
      </c>
      <c r="V644" s="213" t="s">
        <v>3439</v>
      </c>
      <c r="W644" s="213" t="s">
        <v>3361</v>
      </c>
      <c r="X644" s="213" t="s">
        <v>3441</v>
      </c>
      <c r="Y644" s="213" t="s">
        <v>4995</v>
      </c>
      <c r="Z644" s="213" t="s">
        <v>3531</v>
      </c>
      <c r="AA644" s="213">
        <v>100</v>
      </c>
      <c r="AB644" s="213">
        <v>100</v>
      </c>
      <c r="AC644" s="207" t="s">
        <v>4530</v>
      </c>
      <c r="AD644"/>
      <c r="AE644" s="206"/>
      <c r="AF644" s="94"/>
      <c r="AG644" s="94"/>
      <c r="AH644" s="94"/>
      <c r="AI644" s="94"/>
      <c r="AJ644" s="94"/>
      <c r="AK644" s="94"/>
      <c r="AL644" s="94"/>
      <c r="AM644" s="254"/>
      <c r="AN644" s="254"/>
      <c r="AO644" s="94"/>
      <c r="AP644" s="94"/>
      <c r="AQ644" s="94"/>
      <c r="AR644" s="94"/>
      <c r="AS644" s="207"/>
    </row>
    <row r="645" spans="13:45" ht="12.75">
      <c r="M645" s="104"/>
      <c r="O645" s="206" t="s">
        <v>1462</v>
      </c>
      <c r="P645" s="94" t="s">
        <v>756</v>
      </c>
      <c r="Q645" s="180">
        <v>649944</v>
      </c>
      <c r="R645" s="258">
        <v>5000</v>
      </c>
      <c r="S645" s="259">
        <v>100</v>
      </c>
      <c r="T645" s="213" t="s">
        <v>5012</v>
      </c>
      <c r="U645" s="213">
        <v>4</v>
      </c>
      <c r="V645" s="213" t="s">
        <v>3439</v>
      </c>
      <c r="W645" s="213" t="s">
        <v>3361</v>
      </c>
      <c r="X645" s="213" t="s">
        <v>3441</v>
      </c>
      <c r="Y645" s="213" t="s">
        <v>4999</v>
      </c>
      <c r="Z645" s="213" t="s">
        <v>3531</v>
      </c>
      <c r="AA645" s="213">
        <v>100</v>
      </c>
      <c r="AB645" s="213">
        <v>100</v>
      </c>
      <c r="AC645" s="207" t="s">
        <v>4530</v>
      </c>
      <c r="AD645"/>
      <c r="AE645" s="206"/>
      <c r="AF645" s="94"/>
      <c r="AG645" s="94"/>
      <c r="AH645" s="94"/>
      <c r="AI645" s="94"/>
      <c r="AJ645" s="94"/>
      <c r="AK645" s="94"/>
      <c r="AL645" s="94"/>
      <c r="AM645" s="254"/>
      <c r="AN645" s="254"/>
      <c r="AO645" s="94"/>
      <c r="AP645" s="94"/>
      <c r="AQ645" s="94"/>
      <c r="AR645" s="94"/>
      <c r="AS645" s="207"/>
    </row>
    <row r="646" spans="13:45" ht="12.75">
      <c r="M646" s="104"/>
      <c r="O646" s="206" t="s">
        <v>1465</v>
      </c>
      <c r="P646" s="94" t="s">
        <v>759</v>
      </c>
      <c r="Q646" s="180">
        <v>642725</v>
      </c>
      <c r="R646" s="258">
        <v>5000</v>
      </c>
      <c r="S646" s="259">
        <v>100</v>
      </c>
      <c r="T646" s="213" t="s">
        <v>5012</v>
      </c>
      <c r="U646" s="213">
        <v>4</v>
      </c>
      <c r="V646" s="213" t="s">
        <v>3439</v>
      </c>
      <c r="W646" s="213" t="s">
        <v>3361</v>
      </c>
      <c r="X646" s="213" t="s">
        <v>3441</v>
      </c>
      <c r="Y646" s="213" t="s">
        <v>4996</v>
      </c>
      <c r="Z646" s="213" t="s">
        <v>3531</v>
      </c>
      <c r="AA646" s="213">
        <v>100</v>
      </c>
      <c r="AB646" s="213">
        <v>100</v>
      </c>
      <c r="AC646" s="207" t="s">
        <v>4530</v>
      </c>
      <c r="AD646"/>
      <c r="AE646" s="206"/>
      <c r="AF646" s="94"/>
      <c r="AG646" s="94"/>
      <c r="AH646" s="94"/>
      <c r="AI646" s="94"/>
      <c r="AJ646" s="94"/>
      <c r="AK646" s="94"/>
      <c r="AL646" s="94"/>
      <c r="AM646" s="254"/>
      <c r="AN646" s="254"/>
      <c r="AO646" s="94"/>
      <c r="AP646" s="94"/>
      <c r="AQ646" s="94"/>
      <c r="AR646" s="94"/>
      <c r="AS646" s="207"/>
    </row>
    <row r="647" spans="13:45" ht="12.75">
      <c r="M647" s="104"/>
      <c r="O647" s="206" t="s">
        <v>3856</v>
      </c>
      <c r="P647" s="94" t="s">
        <v>762</v>
      </c>
      <c r="Q647" s="180">
        <v>674152</v>
      </c>
      <c r="R647" s="258">
        <v>5000</v>
      </c>
      <c r="S647" s="259">
        <v>100</v>
      </c>
      <c r="T647" s="213" t="s">
        <v>5012</v>
      </c>
      <c r="U647" s="213">
        <v>4</v>
      </c>
      <c r="V647" s="213" t="s">
        <v>3439</v>
      </c>
      <c r="W647" s="213" t="s">
        <v>3361</v>
      </c>
      <c r="X647" s="213" t="s">
        <v>3445</v>
      </c>
      <c r="Y647" s="213" t="s">
        <v>4999</v>
      </c>
      <c r="Z647" s="213" t="s">
        <v>3531</v>
      </c>
      <c r="AA647" s="213">
        <v>100</v>
      </c>
      <c r="AB647" s="213">
        <v>100</v>
      </c>
      <c r="AC647" s="207" t="s">
        <v>4530</v>
      </c>
      <c r="AD647"/>
      <c r="AE647" s="206"/>
      <c r="AF647" s="94"/>
      <c r="AG647" s="94"/>
      <c r="AH647" s="94"/>
      <c r="AI647" s="94"/>
      <c r="AJ647" s="94"/>
      <c r="AK647" s="94"/>
      <c r="AL647" s="94"/>
      <c r="AM647" s="254"/>
      <c r="AN647" s="254"/>
      <c r="AO647" s="94"/>
      <c r="AP647" s="94"/>
      <c r="AQ647" s="94"/>
      <c r="AR647" s="94"/>
      <c r="AS647" s="207"/>
    </row>
    <row r="648" spans="13:45" ht="12.75">
      <c r="M648" s="104"/>
      <c r="O648" s="206" t="s">
        <v>3859</v>
      </c>
      <c r="P648" s="94" t="s">
        <v>765</v>
      </c>
      <c r="Q648" s="180">
        <v>666934</v>
      </c>
      <c r="R648" s="258">
        <v>5000</v>
      </c>
      <c r="S648" s="259">
        <v>100</v>
      </c>
      <c r="T648" s="213" t="s">
        <v>5012</v>
      </c>
      <c r="U648" s="213">
        <v>4</v>
      </c>
      <c r="V648" s="213" t="s">
        <v>3439</v>
      </c>
      <c r="W648" s="213" t="s">
        <v>3361</v>
      </c>
      <c r="X648" s="213" t="s">
        <v>3445</v>
      </c>
      <c r="Y648" s="213" t="s">
        <v>4996</v>
      </c>
      <c r="Z648" s="213" t="s">
        <v>3531</v>
      </c>
      <c r="AA648" s="213">
        <v>100</v>
      </c>
      <c r="AB648" s="213">
        <v>100</v>
      </c>
      <c r="AC648" s="207" t="s">
        <v>4530</v>
      </c>
      <c r="AD648"/>
      <c r="AE648" s="206"/>
      <c r="AF648" s="94"/>
      <c r="AG648" s="94"/>
      <c r="AH648" s="94"/>
      <c r="AI648" s="94"/>
      <c r="AJ648" s="94"/>
      <c r="AK648" s="94"/>
      <c r="AL648" s="94"/>
      <c r="AM648" s="254"/>
      <c r="AN648" s="254"/>
      <c r="AO648" s="94"/>
      <c r="AP648" s="94"/>
      <c r="AQ648" s="94"/>
      <c r="AR648" s="94"/>
      <c r="AS648" s="207"/>
    </row>
    <row r="649" spans="13:45" ht="12.75">
      <c r="M649" s="104"/>
      <c r="O649" s="206" t="s">
        <v>3862</v>
      </c>
      <c r="P649" s="94" t="s">
        <v>768</v>
      </c>
      <c r="Q649" s="180">
        <v>696169</v>
      </c>
      <c r="R649" s="258">
        <v>5000</v>
      </c>
      <c r="S649" s="259">
        <v>150</v>
      </c>
      <c r="T649" s="213" t="s">
        <v>5012</v>
      </c>
      <c r="U649" s="213">
        <v>4</v>
      </c>
      <c r="V649" s="213" t="s">
        <v>3439</v>
      </c>
      <c r="W649" s="213" t="s">
        <v>3361</v>
      </c>
      <c r="X649" s="213" t="s">
        <v>3441</v>
      </c>
      <c r="Y649" s="213" t="s">
        <v>4995</v>
      </c>
      <c r="Z649" s="213" t="s">
        <v>1406</v>
      </c>
      <c r="AA649" s="213">
        <v>100</v>
      </c>
      <c r="AB649" s="213">
        <v>125</v>
      </c>
      <c r="AC649" s="207" t="s">
        <v>4530</v>
      </c>
      <c r="AD649"/>
      <c r="AE649" s="206"/>
      <c r="AF649" s="94"/>
      <c r="AG649" s="94"/>
      <c r="AH649" s="94"/>
      <c r="AI649" s="94"/>
      <c r="AJ649" s="94"/>
      <c r="AK649" s="94"/>
      <c r="AL649" s="94"/>
      <c r="AM649" s="254"/>
      <c r="AN649" s="254"/>
      <c r="AO649" s="94"/>
      <c r="AP649" s="94"/>
      <c r="AQ649" s="94"/>
      <c r="AR649" s="94"/>
      <c r="AS649" s="207"/>
    </row>
    <row r="650" spans="13:45" ht="12.75">
      <c r="M650" s="104"/>
      <c r="O650" s="206" t="s">
        <v>3865</v>
      </c>
      <c r="P650" s="94" t="s">
        <v>771</v>
      </c>
      <c r="Q650" s="180">
        <v>709016</v>
      </c>
      <c r="R650" s="258">
        <v>5000</v>
      </c>
      <c r="S650" s="259">
        <v>150</v>
      </c>
      <c r="T650" s="213" t="s">
        <v>5012</v>
      </c>
      <c r="U650" s="213">
        <v>4</v>
      </c>
      <c r="V650" s="213" t="s">
        <v>3439</v>
      </c>
      <c r="W650" s="213" t="s">
        <v>3361</v>
      </c>
      <c r="X650" s="213" t="s">
        <v>3441</v>
      </c>
      <c r="Y650" s="213" t="s">
        <v>4999</v>
      </c>
      <c r="Z650" s="213" t="s">
        <v>1406</v>
      </c>
      <c r="AA650" s="213">
        <v>100</v>
      </c>
      <c r="AB650" s="213">
        <v>125</v>
      </c>
      <c r="AC650" s="207" t="s">
        <v>4530</v>
      </c>
      <c r="AD650"/>
      <c r="AE650" s="206"/>
      <c r="AF650" s="94"/>
      <c r="AG650" s="94"/>
      <c r="AH650" s="94"/>
      <c r="AI650" s="94"/>
      <c r="AJ650" s="94"/>
      <c r="AK650" s="94"/>
      <c r="AL650" s="94"/>
      <c r="AM650" s="254"/>
      <c r="AN650" s="254"/>
      <c r="AO650" s="94"/>
      <c r="AP650" s="94"/>
      <c r="AQ650" s="94"/>
      <c r="AR650" s="94"/>
      <c r="AS650" s="207"/>
    </row>
    <row r="651" spans="13:45" ht="12.75">
      <c r="M651" s="104"/>
      <c r="O651" s="206" t="s">
        <v>3868</v>
      </c>
      <c r="P651" s="94" t="s">
        <v>774</v>
      </c>
      <c r="Q651" s="180">
        <v>701798</v>
      </c>
      <c r="R651" s="258">
        <v>5000</v>
      </c>
      <c r="S651" s="259">
        <v>150</v>
      </c>
      <c r="T651" s="213" t="s">
        <v>5012</v>
      </c>
      <c r="U651" s="213">
        <v>4</v>
      </c>
      <c r="V651" s="213" t="s">
        <v>3439</v>
      </c>
      <c r="W651" s="213" t="s">
        <v>3361</v>
      </c>
      <c r="X651" s="213" t="s">
        <v>3441</v>
      </c>
      <c r="Y651" s="213" t="s">
        <v>4996</v>
      </c>
      <c r="Z651" s="213" t="s">
        <v>1406</v>
      </c>
      <c r="AA651" s="213">
        <v>100</v>
      </c>
      <c r="AB651" s="213">
        <v>125</v>
      </c>
      <c r="AC651" s="207" t="s">
        <v>4530</v>
      </c>
      <c r="AD651"/>
      <c r="AE651" s="206"/>
      <c r="AF651" s="94"/>
      <c r="AG651" s="94"/>
      <c r="AH651" s="94"/>
      <c r="AI651" s="94"/>
      <c r="AJ651" s="94"/>
      <c r="AK651" s="94"/>
      <c r="AL651" s="94"/>
      <c r="AM651" s="254"/>
      <c r="AN651" s="254"/>
      <c r="AO651" s="94"/>
      <c r="AP651" s="94"/>
      <c r="AQ651" s="94"/>
      <c r="AR651" s="94"/>
      <c r="AS651" s="207"/>
    </row>
    <row r="652" spans="13:45" ht="12.75">
      <c r="M652" s="104"/>
      <c r="O652" s="206" t="s">
        <v>2271</v>
      </c>
      <c r="P652" s="94" t="s">
        <v>777</v>
      </c>
      <c r="Q652" s="180">
        <v>733227</v>
      </c>
      <c r="R652" s="258">
        <v>5000</v>
      </c>
      <c r="S652" s="259">
        <v>150</v>
      </c>
      <c r="T652" s="213" t="s">
        <v>5012</v>
      </c>
      <c r="U652" s="213">
        <v>4</v>
      </c>
      <c r="V652" s="213" t="s">
        <v>3439</v>
      </c>
      <c r="W652" s="213" t="s">
        <v>3361</v>
      </c>
      <c r="X652" s="213" t="s">
        <v>3445</v>
      </c>
      <c r="Y652" s="213" t="s">
        <v>4999</v>
      </c>
      <c r="Z652" s="213" t="s">
        <v>1406</v>
      </c>
      <c r="AA652" s="213">
        <v>100</v>
      </c>
      <c r="AB652" s="213">
        <v>125</v>
      </c>
      <c r="AC652" s="207" t="s">
        <v>4530</v>
      </c>
      <c r="AD652"/>
      <c r="AE652" s="206"/>
      <c r="AF652" s="94"/>
      <c r="AG652" s="94"/>
      <c r="AH652" s="94"/>
      <c r="AI652" s="94"/>
      <c r="AJ652" s="94"/>
      <c r="AK652" s="94"/>
      <c r="AL652" s="94"/>
      <c r="AM652" s="254"/>
      <c r="AN652" s="254"/>
      <c r="AO652" s="94"/>
      <c r="AP652" s="94"/>
      <c r="AQ652" s="94"/>
      <c r="AR652" s="94"/>
      <c r="AS652" s="207"/>
    </row>
    <row r="653" spans="13:45" ht="12.75">
      <c r="M653" s="104"/>
      <c r="O653" s="206" t="s">
        <v>2274</v>
      </c>
      <c r="P653" s="94" t="s">
        <v>4496</v>
      </c>
      <c r="Q653" s="180">
        <v>726008</v>
      </c>
      <c r="R653" s="258">
        <v>5000</v>
      </c>
      <c r="S653" s="259">
        <v>150</v>
      </c>
      <c r="T653" s="213" t="s">
        <v>5012</v>
      </c>
      <c r="U653" s="213">
        <v>4</v>
      </c>
      <c r="V653" s="213" t="s">
        <v>3439</v>
      </c>
      <c r="W653" s="213" t="s">
        <v>3361</v>
      </c>
      <c r="X653" s="213" t="s">
        <v>3445</v>
      </c>
      <c r="Y653" s="213" t="s">
        <v>4996</v>
      </c>
      <c r="Z653" s="213" t="s">
        <v>1406</v>
      </c>
      <c r="AA653" s="213">
        <v>100</v>
      </c>
      <c r="AB653" s="213">
        <v>125</v>
      </c>
      <c r="AC653" s="207" t="s">
        <v>4530</v>
      </c>
      <c r="AD653"/>
      <c r="AE653" s="206"/>
      <c r="AF653" s="94"/>
      <c r="AG653" s="94"/>
      <c r="AH653" s="94"/>
      <c r="AI653" s="94"/>
      <c r="AJ653" s="94"/>
      <c r="AK653" s="94"/>
      <c r="AL653" s="94"/>
      <c r="AM653" s="254"/>
      <c r="AN653" s="254"/>
      <c r="AO653" s="94"/>
      <c r="AP653" s="94"/>
      <c r="AQ653" s="94"/>
      <c r="AR653" s="94"/>
      <c r="AS653" s="207"/>
    </row>
    <row r="654" spans="13:45" ht="12.75">
      <c r="M654" s="104"/>
      <c r="O654" s="206" t="s">
        <v>2277</v>
      </c>
      <c r="P654" s="94" t="s">
        <v>4499</v>
      </c>
      <c r="Q654" s="180">
        <v>789921</v>
      </c>
      <c r="R654" s="258">
        <v>6300</v>
      </c>
      <c r="S654" s="259">
        <v>100</v>
      </c>
      <c r="T654" s="213" t="s">
        <v>5012</v>
      </c>
      <c r="U654" s="213">
        <v>4</v>
      </c>
      <c r="V654" s="213" t="s">
        <v>3439</v>
      </c>
      <c r="W654" s="213" t="s">
        <v>3361</v>
      </c>
      <c r="X654" s="213" t="s">
        <v>3441</v>
      </c>
      <c r="Y654" s="213" t="s">
        <v>4995</v>
      </c>
      <c r="Z654" s="213" t="s">
        <v>3531</v>
      </c>
      <c r="AA654" s="213">
        <v>100</v>
      </c>
      <c r="AB654" s="213">
        <v>100</v>
      </c>
      <c r="AC654" s="207" t="s">
        <v>4530</v>
      </c>
      <c r="AD654"/>
      <c r="AE654" s="206"/>
      <c r="AF654" s="94"/>
      <c r="AG654" s="94"/>
      <c r="AH654" s="94"/>
      <c r="AI654" s="94"/>
      <c r="AJ654" s="94"/>
      <c r="AK654" s="94"/>
      <c r="AL654" s="94"/>
      <c r="AM654" s="254"/>
      <c r="AN654" s="254"/>
      <c r="AO654" s="94"/>
      <c r="AP654" s="94"/>
      <c r="AQ654" s="94"/>
      <c r="AR654" s="94"/>
      <c r="AS654" s="207"/>
    </row>
    <row r="655" spans="13:45" ht="12.75">
      <c r="M655" s="104"/>
      <c r="O655" s="206" t="s">
        <v>2280</v>
      </c>
      <c r="P655" s="94" t="s">
        <v>4502</v>
      </c>
      <c r="Q655" s="180">
        <v>802768</v>
      </c>
      <c r="R655" s="258">
        <v>6300</v>
      </c>
      <c r="S655" s="259">
        <v>100</v>
      </c>
      <c r="T655" s="213" t="s">
        <v>5012</v>
      </c>
      <c r="U655" s="213">
        <v>4</v>
      </c>
      <c r="V655" s="213" t="s">
        <v>3439</v>
      </c>
      <c r="W655" s="213" t="s">
        <v>3361</v>
      </c>
      <c r="X655" s="213" t="s">
        <v>3441</v>
      </c>
      <c r="Y655" s="213" t="s">
        <v>4999</v>
      </c>
      <c r="Z655" s="213" t="s">
        <v>3531</v>
      </c>
      <c r="AA655" s="213">
        <v>100</v>
      </c>
      <c r="AB655" s="213">
        <v>100</v>
      </c>
      <c r="AC655" s="207" t="s">
        <v>4530</v>
      </c>
      <c r="AD655"/>
      <c r="AE655" s="206"/>
      <c r="AF655" s="94"/>
      <c r="AG655" s="94"/>
      <c r="AH655" s="94"/>
      <c r="AI655" s="94"/>
      <c r="AJ655" s="94"/>
      <c r="AK655" s="94"/>
      <c r="AL655" s="94"/>
      <c r="AM655" s="254"/>
      <c r="AN655" s="254"/>
      <c r="AO655" s="94"/>
      <c r="AP655" s="94"/>
      <c r="AQ655" s="94"/>
      <c r="AR655" s="94"/>
      <c r="AS655" s="207"/>
    </row>
    <row r="656" spans="13:45" ht="12.75">
      <c r="M656" s="104"/>
      <c r="O656" s="206" t="s">
        <v>2283</v>
      </c>
      <c r="P656" s="94" t="s">
        <v>3932</v>
      </c>
      <c r="Q656" s="180">
        <v>795550</v>
      </c>
      <c r="R656" s="258">
        <v>6300</v>
      </c>
      <c r="S656" s="259">
        <v>100</v>
      </c>
      <c r="T656" s="213" t="s">
        <v>5012</v>
      </c>
      <c r="U656" s="213">
        <v>4</v>
      </c>
      <c r="V656" s="213" t="s">
        <v>3439</v>
      </c>
      <c r="W656" s="213" t="s">
        <v>3361</v>
      </c>
      <c r="X656" s="213" t="s">
        <v>3441</v>
      </c>
      <c r="Y656" s="213" t="s">
        <v>4996</v>
      </c>
      <c r="Z656" s="213" t="s">
        <v>3531</v>
      </c>
      <c r="AA656" s="213">
        <v>100</v>
      </c>
      <c r="AB656" s="213">
        <v>100</v>
      </c>
      <c r="AC656" s="207" t="s">
        <v>4530</v>
      </c>
      <c r="AD656"/>
      <c r="AE656" s="206"/>
      <c r="AF656" s="94"/>
      <c r="AG656" s="94"/>
      <c r="AH656" s="94"/>
      <c r="AI656" s="94"/>
      <c r="AJ656" s="94"/>
      <c r="AK656" s="94"/>
      <c r="AL656" s="94"/>
      <c r="AM656" s="254"/>
      <c r="AN656" s="254"/>
      <c r="AO656" s="94"/>
      <c r="AP656" s="94"/>
      <c r="AQ656" s="94"/>
      <c r="AR656" s="94"/>
      <c r="AS656" s="207"/>
    </row>
    <row r="657" spans="13:45" ht="12.75">
      <c r="M657" s="104"/>
      <c r="O657" s="206" t="s">
        <v>2286</v>
      </c>
      <c r="P657" s="94" t="s">
        <v>3935</v>
      </c>
      <c r="Q657" s="180">
        <v>826978</v>
      </c>
      <c r="R657" s="258">
        <v>6300</v>
      </c>
      <c r="S657" s="259">
        <v>100</v>
      </c>
      <c r="T657" s="213" t="s">
        <v>5012</v>
      </c>
      <c r="U657" s="213">
        <v>4</v>
      </c>
      <c r="V657" s="213" t="s">
        <v>3439</v>
      </c>
      <c r="W657" s="213" t="s">
        <v>3361</v>
      </c>
      <c r="X657" s="213" t="s">
        <v>3445</v>
      </c>
      <c r="Y657" s="213" t="s">
        <v>4999</v>
      </c>
      <c r="Z657" s="213" t="s">
        <v>3531</v>
      </c>
      <c r="AA657" s="213">
        <v>100</v>
      </c>
      <c r="AB657" s="213">
        <v>100</v>
      </c>
      <c r="AC657" s="207" t="s">
        <v>4530</v>
      </c>
      <c r="AD657"/>
      <c r="AE657" s="206"/>
      <c r="AF657" s="94"/>
      <c r="AG657" s="94"/>
      <c r="AH657" s="94"/>
      <c r="AI657" s="94"/>
      <c r="AJ657" s="94"/>
      <c r="AK657" s="94"/>
      <c r="AL657" s="94"/>
      <c r="AM657" s="254"/>
      <c r="AN657" s="254"/>
      <c r="AO657" s="94"/>
      <c r="AP657" s="94"/>
      <c r="AQ657" s="94"/>
      <c r="AR657" s="94"/>
      <c r="AS657" s="207"/>
    </row>
    <row r="658" spans="13:45" ht="12.75">
      <c r="M658" s="104"/>
      <c r="O658" s="206" t="s">
        <v>2289</v>
      </c>
      <c r="P658" s="94" t="s">
        <v>459</v>
      </c>
      <c r="Q658" s="180">
        <v>819760</v>
      </c>
      <c r="R658" s="258">
        <v>6300</v>
      </c>
      <c r="S658" s="259">
        <v>100</v>
      </c>
      <c r="T658" s="213" t="s">
        <v>5012</v>
      </c>
      <c r="U658" s="213">
        <v>4</v>
      </c>
      <c r="V658" s="213" t="s">
        <v>3439</v>
      </c>
      <c r="W658" s="213" t="s">
        <v>3361</v>
      </c>
      <c r="X658" s="213" t="s">
        <v>3445</v>
      </c>
      <c r="Y658" s="213" t="s">
        <v>4996</v>
      </c>
      <c r="Z658" s="213" t="s">
        <v>3531</v>
      </c>
      <c r="AA658" s="213">
        <v>100</v>
      </c>
      <c r="AB658" s="213">
        <v>100</v>
      </c>
      <c r="AC658" s="207" t="s">
        <v>4530</v>
      </c>
      <c r="AD658"/>
      <c r="AE658" s="206"/>
      <c r="AF658" s="94"/>
      <c r="AG658" s="94"/>
      <c r="AH658" s="94"/>
      <c r="AI658" s="94"/>
      <c r="AJ658" s="94"/>
      <c r="AK658" s="94"/>
      <c r="AL658" s="94"/>
      <c r="AM658" s="254"/>
      <c r="AN658" s="254"/>
      <c r="AO658" s="94"/>
      <c r="AP658" s="94"/>
      <c r="AQ658" s="94"/>
      <c r="AR658" s="94"/>
      <c r="AS658" s="207"/>
    </row>
    <row r="659" spans="13:45" ht="12.75">
      <c r="M659" s="104"/>
      <c r="O659" s="206" t="s">
        <v>2292</v>
      </c>
      <c r="P659" s="94" t="s">
        <v>462</v>
      </c>
      <c r="Q659" s="180">
        <v>1007184</v>
      </c>
      <c r="R659" s="258">
        <v>6300</v>
      </c>
      <c r="S659" s="259">
        <v>150</v>
      </c>
      <c r="T659" s="213" t="s">
        <v>5012</v>
      </c>
      <c r="U659" s="213">
        <v>4</v>
      </c>
      <c r="V659" s="213" t="s">
        <v>3439</v>
      </c>
      <c r="W659" s="213" t="s">
        <v>3361</v>
      </c>
      <c r="X659" s="213" t="s">
        <v>3441</v>
      </c>
      <c r="Y659" s="213" t="s">
        <v>4995</v>
      </c>
      <c r="Z659" s="213" t="s">
        <v>1406</v>
      </c>
      <c r="AA659" s="213">
        <v>100</v>
      </c>
      <c r="AB659" s="213">
        <v>125</v>
      </c>
      <c r="AC659" s="207" t="s">
        <v>4530</v>
      </c>
      <c r="AD659"/>
      <c r="AE659" s="206"/>
      <c r="AF659" s="94"/>
      <c r="AG659" s="94"/>
      <c r="AH659" s="94"/>
      <c r="AI659" s="94"/>
      <c r="AJ659" s="94"/>
      <c r="AK659" s="94"/>
      <c r="AL659" s="94"/>
      <c r="AM659" s="254"/>
      <c r="AN659" s="254"/>
      <c r="AO659" s="94"/>
      <c r="AP659" s="94"/>
      <c r="AQ659" s="94"/>
      <c r="AR659" s="94"/>
      <c r="AS659" s="207"/>
    </row>
    <row r="660" spans="13:45" ht="12.75">
      <c r="M660" s="104"/>
      <c r="O660" s="206" t="s">
        <v>2295</v>
      </c>
      <c r="P660" s="94" t="s">
        <v>465</v>
      </c>
      <c r="Q660" s="180">
        <v>1020031</v>
      </c>
      <c r="R660" s="258">
        <v>6300</v>
      </c>
      <c r="S660" s="259">
        <v>150</v>
      </c>
      <c r="T660" s="213" t="s">
        <v>5012</v>
      </c>
      <c r="U660" s="213">
        <v>4</v>
      </c>
      <c r="V660" s="213" t="s">
        <v>3439</v>
      </c>
      <c r="W660" s="213" t="s">
        <v>3361</v>
      </c>
      <c r="X660" s="213" t="s">
        <v>3441</v>
      </c>
      <c r="Y660" s="213" t="s">
        <v>4999</v>
      </c>
      <c r="Z660" s="213" t="s">
        <v>1406</v>
      </c>
      <c r="AA660" s="213">
        <v>100</v>
      </c>
      <c r="AB660" s="213">
        <v>125</v>
      </c>
      <c r="AC660" s="207" t="s">
        <v>4530</v>
      </c>
      <c r="AD660"/>
      <c r="AE660" s="206"/>
      <c r="AF660" s="94"/>
      <c r="AG660" s="94"/>
      <c r="AH660" s="94"/>
      <c r="AI660" s="94"/>
      <c r="AJ660" s="94"/>
      <c r="AK660" s="94"/>
      <c r="AL660" s="94"/>
      <c r="AM660" s="254"/>
      <c r="AN660" s="254"/>
      <c r="AO660" s="94"/>
      <c r="AP660" s="94"/>
      <c r="AQ660" s="94"/>
      <c r="AR660" s="94"/>
      <c r="AS660" s="207"/>
    </row>
    <row r="661" spans="13:45" ht="12.75">
      <c r="M661" s="104"/>
      <c r="O661" s="206" t="s">
        <v>2298</v>
      </c>
      <c r="P661" s="94" t="s">
        <v>468</v>
      </c>
      <c r="Q661" s="180">
        <v>1012816</v>
      </c>
      <c r="R661" s="258">
        <v>6300</v>
      </c>
      <c r="S661" s="259">
        <v>150</v>
      </c>
      <c r="T661" s="213" t="s">
        <v>5012</v>
      </c>
      <c r="U661" s="213">
        <v>4</v>
      </c>
      <c r="V661" s="213" t="s">
        <v>3439</v>
      </c>
      <c r="W661" s="213" t="s">
        <v>3361</v>
      </c>
      <c r="X661" s="213" t="s">
        <v>3441</v>
      </c>
      <c r="Y661" s="213" t="s">
        <v>4996</v>
      </c>
      <c r="Z661" s="213" t="s">
        <v>1406</v>
      </c>
      <c r="AA661" s="213">
        <v>100</v>
      </c>
      <c r="AB661" s="213">
        <v>125</v>
      </c>
      <c r="AC661" s="207" t="s">
        <v>4530</v>
      </c>
      <c r="AD661"/>
      <c r="AE661" s="206"/>
      <c r="AF661" s="94"/>
      <c r="AG661" s="94"/>
      <c r="AH661" s="94"/>
      <c r="AI661" s="94"/>
      <c r="AJ661" s="94"/>
      <c r="AK661" s="94"/>
      <c r="AL661" s="94"/>
      <c r="AM661" s="254"/>
      <c r="AN661" s="254"/>
      <c r="AO661" s="94"/>
      <c r="AP661" s="94"/>
      <c r="AQ661" s="94"/>
      <c r="AR661" s="94"/>
      <c r="AS661" s="207"/>
    </row>
    <row r="662" spans="13:45" ht="12.75">
      <c r="M662" s="104"/>
      <c r="O662" s="206" t="s">
        <v>2301</v>
      </c>
      <c r="P662" s="94" t="s">
        <v>471</v>
      </c>
      <c r="Q662" s="180">
        <v>1044242</v>
      </c>
      <c r="R662" s="258">
        <v>6300</v>
      </c>
      <c r="S662" s="259">
        <v>150</v>
      </c>
      <c r="T662" s="213" t="s">
        <v>5012</v>
      </c>
      <c r="U662" s="213">
        <v>4</v>
      </c>
      <c r="V662" s="213" t="s">
        <v>3439</v>
      </c>
      <c r="W662" s="213" t="s">
        <v>3361</v>
      </c>
      <c r="X662" s="213" t="s">
        <v>3445</v>
      </c>
      <c r="Y662" s="213" t="s">
        <v>4999</v>
      </c>
      <c r="Z662" s="213" t="s">
        <v>1406</v>
      </c>
      <c r="AA662" s="213">
        <v>100</v>
      </c>
      <c r="AB662" s="213">
        <v>125</v>
      </c>
      <c r="AC662" s="207" t="s">
        <v>4530</v>
      </c>
      <c r="AD662"/>
      <c r="AE662" s="206"/>
      <c r="AF662" s="94"/>
      <c r="AG662" s="94"/>
      <c r="AH662" s="94"/>
      <c r="AI662" s="94"/>
      <c r="AJ662" s="94"/>
      <c r="AK662" s="94"/>
      <c r="AL662" s="94"/>
      <c r="AM662" s="254"/>
      <c r="AN662" s="254"/>
      <c r="AO662" s="94"/>
      <c r="AP662" s="94"/>
      <c r="AQ662" s="94"/>
      <c r="AR662" s="94"/>
      <c r="AS662" s="207"/>
    </row>
    <row r="663" spans="13:45" ht="12.75">
      <c r="M663" s="104"/>
      <c r="O663" s="206" t="s">
        <v>2304</v>
      </c>
      <c r="P663" s="94" t="s">
        <v>3475</v>
      </c>
      <c r="Q663" s="180">
        <v>1037024</v>
      </c>
      <c r="R663" s="258">
        <v>6300</v>
      </c>
      <c r="S663" s="259">
        <v>150</v>
      </c>
      <c r="T663" s="213" t="s">
        <v>5012</v>
      </c>
      <c r="U663" s="213">
        <v>4</v>
      </c>
      <c r="V663" s="213" t="s">
        <v>3439</v>
      </c>
      <c r="W663" s="213" t="s">
        <v>3361</v>
      </c>
      <c r="X663" s="213" t="s">
        <v>3445</v>
      </c>
      <c r="Y663" s="213" t="s">
        <v>4996</v>
      </c>
      <c r="Z663" s="213" t="s">
        <v>1406</v>
      </c>
      <c r="AA663" s="213">
        <v>100</v>
      </c>
      <c r="AB663" s="213">
        <v>125</v>
      </c>
      <c r="AC663" s="207" t="s">
        <v>4530</v>
      </c>
      <c r="AD663"/>
      <c r="AE663" s="206"/>
      <c r="AF663" s="94"/>
      <c r="AG663" s="94"/>
      <c r="AH663" s="94"/>
      <c r="AI663" s="94"/>
      <c r="AJ663" s="94"/>
      <c r="AK663" s="94"/>
      <c r="AL663" s="94"/>
      <c r="AM663" s="254"/>
      <c r="AN663" s="254"/>
      <c r="AO663" s="94"/>
      <c r="AP663" s="94"/>
      <c r="AQ663" s="94"/>
      <c r="AR663" s="94"/>
      <c r="AS663" s="207"/>
    </row>
    <row r="664" spans="13:45" ht="12.75">
      <c r="M664" s="104"/>
      <c r="O664" s="206" t="s">
        <v>2306</v>
      </c>
      <c r="P664" s="94" t="s">
        <v>3477</v>
      </c>
      <c r="Q664" s="180">
        <v>737579</v>
      </c>
      <c r="R664" s="258">
        <v>3200</v>
      </c>
      <c r="S664" s="259">
        <v>150</v>
      </c>
      <c r="T664" s="213" t="s">
        <v>5012</v>
      </c>
      <c r="U664" s="213">
        <v>4</v>
      </c>
      <c r="V664" s="213" t="s">
        <v>3443</v>
      </c>
      <c r="W664" s="213" t="s">
        <v>3572</v>
      </c>
      <c r="X664" s="213" t="s">
        <v>3441</v>
      </c>
      <c r="Y664" s="213" t="s">
        <v>4995</v>
      </c>
      <c r="Z664" s="213" t="s">
        <v>1406</v>
      </c>
      <c r="AA664" s="213">
        <v>100</v>
      </c>
      <c r="AB664" s="213">
        <v>125</v>
      </c>
      <c r="AC664" s="207" t="s">
        <v>4530</v>
      </c>
      <c r="AD664"/>
      <c r="AE664" s="206"/>
      <c r="AF664" s="94"/>
      <c r="AG664" s="94"/>
      <c r="AH664" s="94"/>
      <c r="AI664" s="94"/>
      <c r="AJ664" s="94"/>
      <c r="AK664" s="94"/>
      <c r="AL664" s="94"/>
      <c r="AM664" s="254"/>
      <c r="AN664" s="254"/>
      <c r="AO664" s="94"/>
      <c r="AP664" s="94"/>
      <c r="AQ664" s="94"/>
      <c r="AR664" s="94"/>
      <c r="AS664" s="207"/>
    </row>
    <row r="665" spans="13:45" ht="12.75">
      <c r="M665" s="104"/>
      <c r="O665" s="206" t="s">
        <v>2307</v>
      </c>
      <c r="P665" s="94" t="s">
        <v>3478</v>
      </c>
      <c r="Q665" s="180">
        <v>750424</v>
      </c>
      <c r="R665" s="258">
        <v>3200</v>
      </c>
      <c r="S665" s="259">
        <v>150</v>
      </c>
      <c r="T665" s="213" t="s">
        <v>5012</v>
      </c>
      <c r="U665" s="213">
        <v>4</v>
      </c>
      <c r="V665" s="213" t="s">
        <v>3443</v>
      </c>
      <c r="W665" s="213" t="s">
        <v>3572</v>
      </c>
      <c r="X665" s="213" t="s">
        <v>3441</v>
      </c>
      <c r="Y665" s="213" t="s">
        <v>4999</v>
      </c>
      <c r="Z665" s="213" t="s">
        <v>1406</v>
      </c>
      <c r="AA665" s="213">
        <v>100</v>
      </c>
      <c r="AB665" s="213">
        <v>125</v>
      </c>
      <c r="AC665" s="207" t="s">
        <v>4530</v>
      </c>
      <c r="AD665"/>
      <c r="AE665" s="206"/>
      <c r="AF665" s="94"/>
      <c r="AG665" s="94"/>
      <c r="AH665" s="94"/>
      <c r="AI665" s="94"/>
      <c r="AJ665" s="94"/>
      <c r="AK665" s="94"/>
      <c r="AL665" s="94"/>
      <c r="AM665" s="254"/>
      <c r="AN665" s="254"/>
      <c r="AO665" s="94"/>
      <c r="AP665" s="94"/>
      <c r="AQ665" s="94"/>
      <c r="AR665" s="94"/>
      <c r="AS665" s="207"/>
    </row>
    <row r="666" spans="13:45" ht="12.75">
      <c r="M666" s="104"/>
      <c r="O666" s="206" t="s">
        <v>2308</v>
      </c>
      <c r="P666" s="94" t="s">
        <v>3479</v>
      </c>
      <c r="Q666" s="180">
        <v>743209</v>
      </c>
      <c r="R666" s="258">
        <v>3200</v>
      </c>
      <c r="S666" s="259">
        <v>150</v>
      </c>
      <c r="T666" s="213" t="s">
        <v>5012</v>
      </c>
      <c r="U666" s="213">
        <v>4</v>
      </c>
      <c r="V666" s="213" t="s">
        <v>3443</v>
      </c>
      <c r="W666" s="213" t="s">
        <v>3572</v>
      </c>
      <c r="X666" s="213" t="s">
        <v>3441</v>
      </c>
      <c r="Y666" s="213" t="s">
        <v>4996</v>
      </c>
      <c r="Z666" s="213" t="s">
        <v>1406</v>
      </c>
      <c r="AA666" s="213">
        <v>100</v>
      </c>
      <c r="AB666" s="213">
        <v>125</v>
      </c>
      <c r="AC666" s="207" t="s">
        <v>4530</v>
      </c>
      <c r="AD666"/>
      <c r="AE666" s="206"/>
      <c r="AF666" s="94"/>
      <c r="AG666" s="94"/>
      <c r="AH666" s="94"/>
      <c r="AI666" s="94"/>
      <c r="AJ666" s="94"/>
      <c r="AK666" s="94"/>
      <c r="AL666" s="94"/>
      <c r="AM666" s="254"/>
      <c r="AN666" s="254"/>
      <c r="AO666" s="94"/>
      <c r="AP666" s="94"/>
      <c r="AQ666" s="94"/>
      <c r="AR666" s="94"/>
      <c r="AS666" s="207"/>
    </row>
    <row r="667" spans="13:45" ht="12.75">
      <c r="M667" s="104"/>
      <c r="O667" s="206" t="s">
        <v>2309</v>
      </c>
      <c r="P667" s="94" t="s">
        <v>3480</v>
      </c>
      <c r="Q667" s="180">
        <v>774635</v>
      </c>
      <c r="R667" s="258">
        <v>3200</v>
      </c>
      <c r="S667" s="259">
        <v>150</v>
      </c>
      <c r="T667" s="213" t="s">
        <v>5012</v>
      </c>
      <c r="U667" s="213">
        <v>4</v>
      </c>
      <c r="V667" s="213" t="s">
        <v>3443</v>
      </c>
      <c r="W667" s="213" t="s">
        <v>3572</v>
      </c>
      <c r="X667" s="213" t="s">
        <v>3445</v>
      </c>
      <c r="Y667" s="213" t="s">
        <v>4999</v>
      </c>
      <c r="Z667" s="213" t="s">
        <v>1406</v>
      </c>
      <c r="AA667" s="213">
        <v>100</v>
      </c>
      <c r="AB667" s="213">
        <v>125</v>
      </c>
      <c r="AC667" s="207" t="s">
        <v>4530</v>
      </c>
      <c r="AD667"/>
      <c r="AE667" s="206"/>
      <c r="AF667" s="94"/>
      <c r="AG667" s="94"/>
      <c r="AH667" s="94"/>
      <c r="AI667" s="94"/>
      <c r="AJ667" s="94"/>
      <c r="AK667" s="94"/>
      <c r="AL667" s="94"/>
      <c r="AM667" s="254"/>
      <c r="AN667" s="254"/>
      <c r="AO667" s="94"/>
      <c r="AP667" s="94"/>
      <c r="AQ667" s="94"/>
      <c r="AR667" s="94"/>
      <c r="AS667" s="207"/>
    </row>
    <row r="668" spans="13:45" ht="12.75">
      <c r="M668" s="104"/>
      <c r="O668" s="206" t="s">
        <v>2310</v>
      </c>
      <c r="P668" s="94" t="s">
        <v>3481</v>
      </c>
      <c r="Q668" s="180">
        <v>767419</v>
      </c>
      <c r="R668" s="258">
        <v>3200</v>
      </c>
      <c r="S668" s="259">
        <v>150</v>
      </c>
      <c r="T668" s="213" t="s">
        <v>5012</v>
      </c>
      <c r="U668" s="213">
        <v>4</v>
      </c>
      <c r="V668" s="213" t="s">
        <v>3443</v>
      </c>
      <c r="W668" s="213" t="s">
        <v>3572</v>
      </c>
      <c r="X668" s="213" t="s">
        <v>3445</v>
      </c>
      <c r="Y668" s="213" t="s">
        <v>4996</v>
      </c>
      <c r="Z668" s="213" t="s">
        <v>1406</v>
      </c>
      <c r="AA668" s="213">
        <v>100</v>
      </c>
      <c r="AB668" s="213">
        <v>125</v>
      </c>
      <c r="AC668" s="207" t="s">
        <v>4530</v>
      </c>
      <c r="AD668"/>
      <c r="AE668" s="206"/>
      <c r="AF668" s="94"/>
      <c r="AG668" s="94"/>
      <c r="AH668" s="94"/>
      <c r="AI668" s="94"/>
      <c r="AJ668" s="94"/>
      <c r="AK668" s="94"/>
      <c r="AL668" s="94"/>
      <c r="AM668" s="254"/>
      <c r="AN668" s="254"/>
      <c r="AO668" s="94"/>
      <c r="AP668" s="94"/>
      <c r="AQ668" s="94"/>
      <c r="AR668" s="94"/>
      <c r="AS668" s="207"/>
    </row>
    <row r="669" spans="13:45" ht="12.75">
      <c r="M669" s="104"/>
      <c r="O669" s="206" t="s">
        <v>2311</v>
      </c>
      <c r="P669" s="94" t="s">
        <v>3482</v>
      </c>
      <c r="Q669" s="180">
        <v>776399</v>
      </c>
      <c r="R669" s="258">
        <v>4000</v>
      </c>
      <c r="S669" s="259">
        <v>150</v>
      </c>
      <c r="T669" s="213" t="s">
        <v>5012</v>
      </c>
      <c r="U669" s="213">
        <v>4</v>
      </c>
      <c r="V669" s="213" t="s">
        <v>3443</v>
      </c>
      <c r="W669" s="213" t="s">
        <v>3572</v>
      </c>
      <c r="X669" s="213" t="s">
        <v>3441</v>
      </c>
      <c r="Y669" s="213" t="s">
        <v>4995</v>
      </c>
      <c r="Z669" s="213" t="s">
        <v>1406</v>
      </c>
      <c r="AA669" s="213">
        <v>100</v>
      </c>
      <c r="AB669" s="213">
        <v>125</v>
      </c>
      <c r="AC669" s="207" t="s">
        <v>4530</v>
      </c>
      <c r="AD669"/>
      <c r="AE669" s="206"/>
      <c r="AF669" s="94"/>
      <c r="AG669" s="94"/>
      <c r="AH669" s="94"/>
      <c r="AI669" s="94"/>
      <c r="AJ669" s="94"/>
      <c r="AK669" s="94"/>
      <c r="AL669" s="94"/>
      <c r="AM669" s="254"/>
      <c r="AN669" s="254"/>
      <c r="AO669" s="94"/>
      <c r="AP669" s="94"/>
      <c r="AQ669" s="94"/>
      <c r="AR669" s="94"/>
      <c r="AS669" s="207"/>
    </row>
    <row r="670" spans="13:45" ht="12.75">
      <c r="M670" s="104"/>
      <c r="O670" s="206" t="s">
        <v>2312</v>
      </c>
      <c r="P670" s="94" t="s">
        <v>633</v>
      </c>
      <c r="Q670" s="180">
        <v>789246</v>
      </c>
      <c r="R670" s="258">
        <v>4000</v>
      </c>
      <c r="S670" s="259">
        <v>150</v>
      </c>
      <c r="T670" s="213" t="s">
        <v>5012</v>
      </c>
      <c r="U670" s="213">
        <v>4</v>
      </c>
      <c r="V670" s="213" t="s">
        <v>3443</v>
      </c>
      <c r="W670" s="213" t="s">
        <v>3572</v>
      </c>
      <c r="X670" s="213" t="s">
        <v>3441</v>
      </c>
      <c r="Y670" s="213" t="s">
        <v>4999</v>
      </c>
      <c r="Z670" s="213" t="s">
        <v>1406</v>
      </c>
      <c r="AA670" s="213">
        <v>100</v>
      </c>
      <c r="AB670" s="213">
        <v>125</v>
      </c>
      <c r="AC670" s="207" t="s">
        <v>4530</v>
      </c>
      <c r="AD670"/>
      <c r="AE670" s="206"/>
      <c r="AF670" s="94"/>
      <c r="AG670" s="94"/>
      <c r="AH670" s="94"/>
      <c r="AI670" s="94"/>
      <c r="AJ670" s="94"/>
      <c r="AK670" s="94"/>
      <c r="AL670" s="94"/>
      <c r="AM670" s="254"/>
      <c r="AN670" s="254"/>
      <c r="AO670" s="94"/>
      <c r="AP670" s="94"/>
      <c r="AQ670" s="94"/>
      <c r="AR670" s="94"/>
      <c r="AS670" s="207"/>
    </row>
    <row r="671" spans="13:45" ht="12.75">
      <c r="M671" s="104"/>
      <c r="O671" s="206" t="s">
        <v>2313</v>
      </c>
      <c r="P671" s="94" t="s">
        <v>634</v>
      </c>
      <c r="Q671" s="180">
        <v>782030</v>
      </c>
      <c r="R671" s="258">
        <v>4000</v>
      </c>
      <c r="S671" s="259">
        <v>150</v>
      </c>
      <c r="T671" s="213" t="s">
        <v>5012</v>
      </c>
      <c r="U671" s="213">
        <v>4</v>
      </c>
      <c r="V671" s="213" t="s">
        <v>3443</v>
      </c>
      <c r="W671" s="213" t="s">
        <v>3572</v>
      </c>
      <c r="X671" s="213" t="s">
        <v>3441</v>
      </c>
      <c r="Y671" s="213" t="s">
        <v>4996</v>
      </c>
      <c r="Z671" s="213" t="s">
        <v>1406</v>
      </c>
      <c r="AA671" s="213">
        <v>100</v>
      </c>
      <c r="AB671" s="213">
        <v>125</v>
      </c>
      <c r="AC671" s="207" t="s">
        <v>4530</v>
      </c>
      <c r="AD671"/>
      <c r="AE671" s="206"/>
      <c r="AF671" s="94"/>
      <c r="AG671" s="94"/>
      <c r="AH671" s="94"/>
      <c r="AI671" s="94"/>
      <c r="AJ671" s="94"/>
      <c r="AK671" s="94"/>
      <c r="AL671" s="94"/>
      <c r="AM671" s="254"/>
      <c r="AN671" s="254"/>
      <c r="AO671" s="94"/>
      <c r="AP671" s="94"/>
      <c r="AQ671" s="94"/>
      <c r="AR671" s="94"/>
      <c r="AS671" s="207"/>
    </row>
    <row r="672" spans="13:45" ht="12.75">
      <c r="M672" s="104"/>
      <c r="O672" s="206" t="s">
        <v>2314</v>
      </c>
      <c r="P672" s="94" t="s">
        <v>635</v>
      </c>
      <c r="Q672" s="180">
        <v>813455</v>
      </c>
      <c r="R672" s="258">
        <v>4000</v>
      </c>
      <c r="S672" s="259">
        <v>150</v>
      </c>
      <c r="T672" s="213" t="s">
        <v>5012</v>
      </c>
      <c r="U672" s="213">
        <v>4</v>
      </c>
      <c r="V672" s="213" t="s">
        <v>3443</v>
      </c>
      <c r="W672" s="213" t="s">
        <v>3572</v>
      </c>
      <c r="X672" s="213" t="s">
        <v>3445</v>
      </c>
      <c r="Y672" s="213" t="s">
        <v>4999</v>
      </c>
      <c r="Z672" s="213" t="s">
        <v>1406</v>
      </c>
      <c r="AA672" s="213">
        <v>100</v>
      </c>
      <c r="AB672" s="213">
        <v>125</v>
      </c>
      <c r="AC672" s="207" t="s">
        <v>4530</v>
      </c>
      <c r="AD672"/>
      <c r="AE672" s="206"/>
      <c r="AF672" s="94"/>
      <c r="AG672" s="94"/>
      <c r="AH672" s="94"/>
      <c r="AI672" s="94"/>
      <c r="AJ672" s="94"/>
      <c r="AK672" s="94"/>
      <c r="AL672" s="94"/>
      <c r="AM672" s="254"/>
      <c r="AN672" s="254"/>
      <c r="AO672" s="94"/>
      <c r="AP672" s="94"/>
      <c r="AQ672" s="94"/>
      <c r="AR672" s="94"/>
      <c r="AS672" s="207"/>
    </row>
    <row r="673" spans="13:45" ht="12.75">
      <c r="M673" s="104"/>
      <c r="O673" s="206" t="s">
        <v>2315</v>
      </c>
      <c r="P673" s="94" t="s">
        <v>4565</v>
      </c>
      <c r="Q673" s="180">
        <v>806238</v>
      </c>
      <c r="R673" s="258">
        <v>4000</v>
      </c>
      <c r="S673" s="259">
        <v>150</v>
      </c>
      <c r="T673" s="213" t="s">
        <v>5012</v>
      </c>
      <c r="U673" s="213">
        <v>4</v>
      </c>
      <c r="V673" s="213" t="s">
        <v>3443</v>
      </c>
      <c r="W673" s="213" t="s">
        <v>3572</v>
      </c>
      <c r="X673" s="213" t="s">
        <v>3445</v>
      </c>
      <c r="Y673" s="213" t="s">
        <v>4996</v>
      </c>
      <c r="Z673" s="213" t="s">
        <v>1406</v>
      </c>
      <c r="AA673" s="213">
        <v>100</v>
      </c>
      <c r="AB673" s="213">
        <v>125</v>
      </c>
      <c r="AC673" s="207" t="s">
        <v>4530</v>
      </c>
      <c r="AD673"/>
      <c r="AE673" s="206"/>
      <c r="AF673" s="94"/>
      <c r="AG673" s="94"/>
      <c r="AH673" s="94"/>
      <c r="AI673" s="94"/>
      <c r="AJ673" s="94"/>
      <c r="AK673" s="94"/>
      <c r="AL673" s="94"/>
      <c r="AM673" s="254"/>
      <c r="AN673" s="254"/>
      <c r="AO673" s="94"/>
      <c r="AP673" s="94"/>
      <c r="AQ673" s="94"/>
      <c r="AR673" s="94"/>
      <c r="AS673" s="207"/>
    </row>
    <row r="674" spans="13:45" ht="12.75">
      <c r="M674" s="104"/>
      <c r="O674" s="206" t="s">
        <v>2316</v>
      </c>
      <c r="P674" s="94" t="s">
        <v>4566</v>
      </c>
      <c r="Q674" s="180">
        <v>685434</v>
      </c>
      <c r="R674" s="258">
        <v>5000</v>
      </c>
      <c r="S674" s="259">
        <v>100</v>
      </c>
      <c r="T674" s="213" t="s">
        <v>5012</v>
      </c>
      <c r="U674" s="213">
        <v>4</v>
      </c>
      <c r="V674" s="213" t="s">
        <v>3443</v>
      </c>
      <c r="W674" s="213" t="s">
        <v>3572</v>
      </c>
      <c r="X674" s="213" t="s">
        <v>3441</v>
      </c>
      <c r="Y674" s="213" t="s">
        <v>4995</v>
      </c>
      <c r="Z674" s="213" t="s">
        <v>3531</v>
      </c>
      <c r="AA674" s="213">
        <v>100</v>
      </c>
      <c r="AB674" s="213">
        <v>100</v>
      </c>
      <c r="AC674" s="207" t="s">
        <v>4530</v>
      </c>
      <c r="AD674"/>
      <c r="AE674" s="206"/>
      <c r="AF674" s="94"/>
      <c r="AG674" s="94"/>
      <c r="AH674" s="94"/>
      <c r="AI674" s="94"/>
      <c r="AJ674" s="94"/>
      <c r="AK674" s="94"/>
      <c r="AL674" s="94"/>
      <c r="AM674" s="254"/>
      <c r="AN674" s="254"/>
      <c r="AO674" s="94"/>
      <c r="AP674" s="94"/>
      <c r="AQ674" s="94"/>
      <c r="AR674" s="94"/>
      <c r="AS674" s="207"/>
    </row>
    <row r="675" spans="13:45" ht="12.75">
      <c r="M675" s="104"/>
      <c r="O675" s="206" t="s">
        <v>2317</v>
      </c>
      <c r="P675" s="94" t="s">
        <v>4567</v>
      </c>
      <c r="Q675" s="180">
        <v>698281</v>
      </c>
      <c r="R675" s="258">
        <v>5000</v>
      </c>
      <c r="S675" s="259">
        <v>100</v>
      </c>
      <c r="T675" s="213" t="s">
        <v>5012</v>
      </c>
      <c r="U675" s="213">
        <v>4</v>
      </c>
      <c r="V675" s="213" t="s">
        <v>3443</v>
      </c>
      <c r="W675" s="213" t="s">
        <v>3572</v>
      </c>
      <c r="X675" s="213" t="s">
        <v>3441</v>
      </c>
      <c r="Y675" s="213" t="s">
        <v>4999</v>
      </c>
      <c r="Z675" s="213" t="s">
        <v>3531</v>
      </c>
      <c r="AA675" s="213">
        <v>100</v>
      </c>
      <c r="AB675" s="213">
        <v>100</v>
      </c>
      <c r="AC675" s="207" t="s">
        <v>4530</v>
      </c>
      <c r="AD675"/>
      <c r="AE675" s="206"/>
      <c r="AF675" s="94"/>
      <c r="AG675" s="94"/>
      <c r="AH675" s="94"/>
      <c r="AI675" s="94"/>
      <c r="AJ675" s="94"/>
      <c r="AK675" s="94"/>
      <c r="AL675" s="94"/>
      <c r="AM675" s="254"/>
      <c r="AN675" s="254"/>
      <c r="AO675" s="94"/>
      <c r="AP675" s="94"/>
      <c r="AQ675" s="94"/>
      <c r="AR675" s="94"/>
      <c r="AS675" s="207"/>
    </row>
    <row r="676" spans="13:45" ht="12.75">
      <c r="M676" s="104"/>
      <c r="O676" s="206" t="s">
        <v>2318</v>
      </c>
      <c r="P676" s="94" t="s">
        <v>636</v>
      </c>
      <c r="Q676" s="180">
        <v>691065</v>
      </c>
      <c r="R676" s="258">
        <v>5000</v>
      </c>
      <c r="S676" s="259">
        <v>100</v>
      </c>
      <c r="T676" s="213" t="s">
        <v>5012</v>
      </c>
      <c r="U676" s="213">
        <v>4</v>
      </c>
      <c r="V676" s="213" t="s">
        <v>3443</v>
      </c>
      <c r="W676" s="213" t="s">
        <v>3572</v>
      </c>
      <c r="X676" s="213" t="s">
        <v>3441</v>
      </c>
      <c r="Y676" s="213" t="s">
        <v>4996</v>
      </c>
      <c r="Z676" s="213" t="s">
        <v>3531</v>
      </c>
      <c r="AA676" s="213">
        <v>100</v>
      </c>
      <c r="AB676" s="213">
        <v>100</v>
      </c>
      <c r="AC676" s="207" t="s">
        <v>4530</v>
      </c>
      <c r="AD676"/>
      <c r="AE676" s="206"/>
      <c r="AF676" s="94"/>
      <c r="AG676" s="94"/>
      <c r="AH676" s="94"/>
      <c r="AI676" s="94"/>
      <c r="AJ676" s="94"/>
      <c r="AK676" s="94"/>
      <c r="AL676" s="94"/>
      <c r="AM676" s="254"/>
      <c r="AN676" s="254"/>
      <c r="AO676" s="94"/>
      <c r="AP676" s="94"/>
      <c r="AQ676" s="94"/>
      <c r="AR676" s="94"/>
      <c r="AS676" s="207"/>
    </row>
    <row r="677" spans="13:45" ht="12.75">
      <c r="M677" s="104"/>
      <c r="O677" s="206" t="s">
        <v>2319</v>
      </c>
      <c r="P677" s="94" t="s">
        <v>637</v>
      </c>
      <c r="Q677" s="180">
        <v>722490</v>
      </c>
      <c r="R677" s="258">
        <v>5000</v>
      </c>
      <c r="S677" s="259">
        <v>100</v>
      </c>
      <c r="T677" s="213" t="s">
        <v>5012</v>
      </c>
      <c r="U677" s="213">
        <v>4</v>
      </c>
      <c r="V677" s="213" t="s">
        <v>3443</v>
      </c>
      <c r="W677" s="213" t="s">
        <v>3572</v>
      </c>
      <c r="X677" s="213" t="s">
        <v>3445</v>
      </c>
      <c r="Y677" s="213" t="s">
        <v>4999</v>
      </c>
      <c r="Z677" s="213" t="s">
        <v>3531</v>
      </c>
      <c r="AA677" s="213">
        <v>100</v>
      </c>
      <c r="AB677" s="213">
        <v>100</v>
      </c>
      <c r="AC677" s="207" t="s">
        <v>4530</v>
      </c>
      <c r="AD677"/>
      <c r="AE677" s="206"/>
      <c r="AF677" s="94"/>
      <c r="AG677" s="94"/>
      <c r="AH677" s="94"/>
      <c r="AI677" s="94"/>
      <c r="AJ677" s="94"/>
      <c r="AK677" s="94"/>
      <c r="AL677" s="94"/>
      <c r="AM677" s="254"/>
      <c r="AN677" s="254"/>
      <c r="AO677" s="94"/>
      <c r="AP677" s="94"/>
      <c r="AQ677" s="94"/>
      <c r="AR677" s="94"/>
      <c r="AS677" s="207"/>
    </row>
    <row r="678" spans="13:45" ht="12.75">
      <c r="M678" s="104"/>
      <c r="O678" s="206" t="s">
        <v>2320</v>
      </c>
      <c r="P678" s="94" t="s">
        <v>638</v>
      </c>
      <c r="Q678" s="180">
        <v>715274</v>
      </c>
      <c r="R678" s="258">
        <v>5000</v>
      </c>
      <c r="S678" s="259">
        <v>100</v>
      </c>
      <c r="T678" s="213" t="s">
        <v>5012</v>
      </c>
      <c r="U678" s="213">
        <v>4</v>
      </c>
      <c r="V678" s="213" t="s">
        <v>3443</v>
      </c>
      <c r="W678" s="213" t="s">
        <v>3572</v>
      </c>
      <c r="X678" s="213" t="s">
        <v>3445</v>
      </c>
      <c r="Y678" s="213" t="s">
        <v>4996</v>
      </c>
      <c r="Z678" s="213" t="s">
        <v>3531</v>
      </c>
      <c r="AA678" s="213">
        <v>100</v>
      </c>
      <c r="AB678" s="213">
        <v>100</v>
      </c>
      <c r="AC678" s="207" t="s">
        <v>4530</v>
      </c>
      <c r="AD678"/>
      <c r="AE678" s="206"/>
      <c r="AF678" s="94"/>
      <c r="AG678" s="94"/>
      <c r="AH678" s="94"/>
      <c r="AI678" s="94"/>
      <c r="AJ678" s="94"/>
      <c r="AK678" s="94"/>
      <c r="AL678" s="94"/>
      <c r="AM678" s="254"/>
      <c r="AN678" s="254"/>
      <c r="AO678" s="94"/>
      <c r="AP678" s="94"/>
      <c r="AQ678" s="94"/>
      <c r="AR678" s="94"/>
      <c r="AS678" s="207"/>
    </row>
    <row r="679" spans="13:45" ht="12.75">
      <c r="M679" s="104"/>
      <c r="O679" s="206" t="s">
        <v>2321</v>
      </c>
      <c r="P679" s="94" t="s">
        <v>639</v>
      </c>
      <c r="Q679" s="180">
        <v>817261</v>
      </c>
      <c r="R679" s="258">
        <v>5000</v>
      </c>
      <c r="S679" s="259">
        <v>150</v>
      </c>
      <c r="T679" s="213" t="s">
        <v>5012</v>
      </c>
      <c r="U679" s="213">
        <v>4</v>
      </c>
      <c r="V679" s="213" t="s">
        <v>3443</v>
      </c>
      <c r="W679" s="213" t="s">
        <v>3572</v>
      </c>
      <c r="X679" s="213" t="s">
        <v>3441</v>
      </c>
      <c r="Y679" s="213" t="s">
        <v>4995</v>
      </c>
      <c r="Z679" s="213" t="s">
        <v>1406</v>
      </c>
      <c r="AA679" s="213">
        <v>100</v>
      </c>
      <c r="AB679" s="213">
        <v>125</v>
      </c>
      <c r="AC679" s="207" t="s">
        <v>4530</v>
      </c>
      <c r="AD679"/>
      <c r="AE679" s="206"/>
      <c r="AF679" s="94"/>
      <c r="AG679" s="94"/>
      <c r="AH679" s="94"/>
      <c r="AI679" s="94"/>
      <c r="AJ679" s="94"/>
      <c r="AK679" s="94"/>
      <c r="AL679" s="94"/>
      <c r="AM679" s="254"/>
      <c r="AN679" s="254"/>
      <c r="AO679" s="94"/>
      <c r="AP679" s="94"/>
      <c r="AQ679" s="94"/>
      <c r="AR679" s="94"/>
      <c r="AS679" s="207"/>
    </row>
    <row r="680" spans="13:45" ht="12.75">
      <c r="M680" s="104"/>
      <c r="O680" s="206" t="s">
        <v>2322</v>
      </c>
      <c r="P680" s="94" t="s">
        <v>640</v>
      </c>
      <c r="Q680" s="180">
        <v>830109</v>
      </c>
      <c r="R680" s="258">
        <v>5000</v>
      </c>
      <c r="S680" s="259">
        <v>150</v>
      </c>
      <c r="T680" s="213" t="s">
        <v>5012</v>
      </c>
      <c r="U680" s="213">
        <v>4</v>
      </c>
      <c r="V680" s="213" t="s">
        <v>3443</v>
      </c>
      <c r="W680" s="213" t="s">
        <v>3572</v>
      </c>
      <c r="X680" s="213" t="s">
        <v>3441</v>
      </c>
      <c r="Y680" s="213" t="s">
        <v>4999</v>
      </c>
      <c r="Z680" s="213" t="s">
        <v>1406</v>
      </c>
      <c r="AA680" s="213">
        <v>100</v>
      </c>
      <c r="AB680" s="213">
        <v>125</v>
      </c>
      <c r="AC680" s="207" t="s">
        <v>4530</v>
      </c>
      <c r="AD680"/>
      <c r="AE680" s="206"/>
      <c r="AF680" s="94"/>
      <c r="AG680" s="94"/>
      <c r="AH680" s="94"/>
      <c r="AI680" s="94"/>
      <c r="AJ680" s="94"/>
      <c r="AK680" s="94"/>
      <c r="AL680" s="94"/>
      <c r="AM680" s="254"/>
      <c r="AN680" s="254"/>
      <c r="AO680" s="94"/>
      <c r="AP680" s="94"/>
      <c r="AQ680" s="94"/>
      <c r="AR680" s="94"/>
      <c r="AS680" s="207"/>
    </row>
    <row r="681" spans="13:45" ht="12.75">
      <c r="M681" s="104"/>
      <c r="O681" s="206" t="s">
        <v>2323</v>
      </c>
      <c r="P681" s="94" t="s">
        <v>4603</v>
      </c>
      <c r="Q681" s="180">
        <v>822891</v>
      </c>
      <c r="R681" s="258">
        <v>5000</v>
      </c>
      <c r="S681" s="259">
        <v>150</v>
      </c>
      <c r="T681" s="213" t="s">
        <v>5012</v>
      </c>
      <c r="U681" s="213">
        <v>4</v>
      </c>
      <c r="V681" s="213" t="s">
        <v>3443</v>
      </c>
      <c r="W681" s="213" t="s">
        <v>3572</v>
      </c>
      <c r="X681" s="213" t="s">
        <v>3441</v>
      </c>
      <c r="Y681" s="213" t="s">
        <v>4996</v>
      </c>
      <c r="Z681" s="213" t="s">
        <v>1406</v>
      </c>
      <c r="AA681" s="213">
        <v>100</v>
      </c>
      <c r="AB681" s="213">
        <v>125</v>
      </c>
      <c r="AC681" s="207" t="s">
        <v>4530</v>
      </c>
      <c r="AD681"/>
      <c r="AE681" s="206"/>
      <c r="AF681" s="94"/>
      <c r="AG681" s="94"/>
      <c r="AH681" s="94"/>
      <c r="AI681" s="94"/>
      <c r="AJ681" s="94"/>
      <c r="AK681" s="94"/>
      <c r="AL681" s="94"/>
      <c r="AM681" s="254"/>
      <c r="AN681" s="254"/>
      <c r="AO681" s="94"/>
      <c r="AP681" s="94"/>
      <c r="AQ681" s="94"/>
      <c r="AR681" s="94"/>
      <c r="AS681" s="207"/>
    </row>
    <row r="682" spans="13:45" ht="12.75">
      <c r="M682" s="104"/>
      <c r="O682" s="206" t="s">
        <v>2324</v>
      </c>
      <c r="P682" s="94" t="s">
        <v>4604</v>
      </c>
      <c r="Q682" s="180">
        <v>854319</v>
      </c>
      <c r="R682" s="258">
        <v>5000</v>
      </c>
      <c r="S682" s="259">
        <v>150</v>
      </c>
      <c r="T682" s="213" t="s">
        <v>5012</v>
      </c>
      <c r="U682" s="213">
        <v>4</v>
      </c>
      <c r="V682" s="213" t="s">
        <v>3443</v>
      </c>
      <c r="W682" s="213" t="s">
        <v>3572</v>
      </c>
      <c r="X682" s="213" t="s">
        <v>3445</v>
      </c>
      <c r="Y682" s="213" t="s">
        <v>4999</v>
      </c>
      <c r="Z682" s="213" t="s">
        <v>1406</v>
      </c>
      <c r="AA682" s="213">
        <v>100</v>
      </c>
      <c r="AB682" s="213">
        <v>125</v>
      </c>
      <c r="AC682" s="207" t="s">
        <v>4530</v>
      </c>
      <c r="AD682"/>
      <c r="AE682" s="206"/>
      <c r="AF682" s="94"/>
      <c r="AG682" s="94"/>
      <c r="AH682" s="94"/>
      <c r="AI682" s="94"/>
      <c r="AJ682" s="94"/>
      <c r="AK682" s="94"/>
      <c r="AL682" s="94"/>
      <c r="AM682" s="254"/>
      <c r="AN682" s="254"/>
      <c r="AO682" s="94"/>
      <c r="AP682" s="94"/>
      <c r="AQ682" s="94"/>
      <c r="AR682" s="94"/>
      <c r="AS682" s="207"/>
    </row>
    <row r="683" spans="13:45" ht="12.75">
      <c r="M683" s="104"/>
      <c r="O683" s="206" t="s">
        <v>2325</v>
      </c>
      <c r="P683" s="94" t="s">
        <v>4605</v>
      </c>
      <c r="Q683" s="180">
        <v>847101</v>
      </c>
      <c r="R683" s="258">
        <v>5000</v>
      </c>
      <c r="S683" s="259">
        <v>150</v>
      </c>
      <c r="T683" s="213" t="s">
        <v>5012</v>
      </c>
      <c r="U683" s="213">
        <v>4</v>
      </c>
      <c r="V683" s="213" t="s">
        <v>3443</v>
      </c>
      <c r="W683" s="213" t="s">
        <v>3572</v>
      </c>
      <c r="X683" s="213" t="s">
        <v>3445</v>
      </c>
      <c r="Y683" s="213" t="s">
        <v>4996</v>
      </c>
      <c r="Z683" s="213" t="s">
        <v>1406</v>
      </c>
      <c r="AA683" s="213">
        <v>100</v>
      </c>
      <c r="AB683" s="213">
        <v>125</v>
      </c>
      <c r="AC683" s="207" t="s">
        <v>4530</v>
      </c>
      <c r="AD683"/>
      <c r="AE683" s="206"/>
      <c r="AF683" s="94"/>
      <c r="AG683" s="94"/>
      <c r="AH683" s="94"/>
      <c r="AI683" s="94"/>
      <c r="AJ683" s="94"/>
      <c r="AK683" s="94"/>
      <c r="AL683" s="94"/>
      <c r="AM683" s="254"/>
      <c r="AN683" s="254"/>
      <c r="AO683" s="94"/>
      <c r="AP683" s="94"/>
      <c r="AQ683" s="94"/>
      <c r="AR683" s="94"/>
      <c r="AS683" s="207"/>
    </row>
    <row r="684" spans="13:45" ht="12.75">
      <c r="M684" s="104"/>
      <c r="O684" s="206" t="s">
        <v>2326</v>
      </c>
      <c r="P684" s="94" t="s">
        <v>4606</v>
      </c>
      <c r="Q684" s="180">
        <v>850363</v>
      </c>
      <c r="R684" s="258">
        <v>6300</v>
      </c>
      <c r="S684" s="259">
        <v>100</v>
      </c>
      <c r="T684" s="213" t="s">
        <v>5012</v>
      </c>
      <c r="U684" s="213">
        <v>4</v>
      </c>
      <c r="V684" s="213" t="s">
        <v>3443</v>
      </c>
      <c r="W684" s="213" t="s">
        <v>3572</v>
      </c>
      <c r="X684" s="213" t="s">
        <v>3441</v>
      </c>
      <c r="Y684" s="213" t="s">
        <v>4995</v>
      </c>
      <c r="Z684" s="213" t="s">
        <v>3531</v>
      </c>
      <c r="AA684" s="213">
        <v>100</v>
      </c>
      <c r="AB684" s="213">
        <v>100</v>
      </c>
      <c r="AC684" s="207" t="s">
        <v>4530</v>
      </c>
      <c r="AD684"/>
      <c r="AE684" s="206"/>
      <c r="AF684" s="94"/>
      <c r="AG684" s="94"/>
      <c r="AH684" s="94"/>
      <c r="AI684" s="94"/>
      <c r="AJ684" s="94"/>
      <c r="AK684" s="94"/>
      <c r="AL684" s="94"/>
      <c r="AM684" s="254"/>
      <c r="AN684" s="254"/>
      <c r="AO684" s="94"/>
      <c r="AP684" s="94"/>
      <c r="AQ684" s="94"/>
      <c r="AR684" s="94"/>
      <c r="AS684" s="207"/>
    </row>
    <row r="685" spans="13:45" ht="12.75">
      <c r="M685" s="104"/>
      <c r="O685" s="206" t="s">
        <v>2327</v>
      </c>
      <c r="P685" s="94" t="s">
        <v>4607</v>
      </c>
      <c r="Q685" s="180">
        <v>863210</v>
      </c>
      <c r="R685" s="258">
        <v>6300</v>
      </c>
      <c r="S685" s="259">
        <v>100</v>
      </c>
      <c r="T685" s="213" t="s">
        <v>5012</v>
      </c>
      <c r="U685" s="213">
        <v>4</v>
      </c>
      <c r="V685" s="213" t="s">
        <v>3443</v>
      </c>
      <c r="W685" s="213" t="s">
        <v>3572</v>
      </c>
      <c r="X685" s="213" t="s">
        <v>3441</v>
      </c>
      <c r="Y685" s="213" t="s">
        <v>4999</v>
      </c>
      <c r="Z685" s="213" t="s">
        <v>3531</v>
      </c>
      <c r="AA685" s="213">
        <v>100</v>
      </c>
      <c r="AB685" s="213">
        <v>100</v>
      </c>
      <c r="AC685" s="207" t="s">
        <v>4530</v>
      </c>
      <c r="AD685"/>
      <c r="AE685" s="206"/>
      <c r="AF685" s="94"/>
      <c r="AG685" s="94"/>
      <c r="AH685" s="94"/>
      <c r="AI685" s="94"/>
      <c r="AJ685" s="94"/>
      <c r="AK685" s="94"/>
      <c r="AL685" s="94"/>
      <c r="AM685" s="254"/>
      <c r="AN685" s="254"/>
      <c r="AO685" s="94"/>
      <c r="AP685" s="94"/>
      <c r="AQ685" s="94"/>
      <c r="AR685" s="94"/>
      <c r="AS685" s="207"/>
    </row>
    <row r="686" spans="13:45" ht="12.75">
      <c r="M686" s="104"/>
      <c r="O686" s="206" t="s">
        <v>2328</v>
      </c>
      <c r="P686" s="94" t="s">
        <v>4608</v>
      </c>
      <c r="Q686" s="180">
        <v>855994</v>
      </c>
      <c r="R686" s="258">
        <v>6300</v>
      </c>
      <c r="S686" s="259">
        <v>100</v>
      </c>
      <c r="T686" s="213" t="s">
        <v>5012</v>
      </c>
      <c r="U686" s="213">
        <v>4</v>
      </c>
      <c r="V686" s="213" t="s">
        <v>3443</v>
      </c>
      <c r="W686" s="213" t="s">
        <v>3572</v>
      </c>
      <c r="X686" s="213" t="s">
        <v>3441</v>
      </c>
      <c r="Y686" s="213" t="s">
        <v>4996</v>
      </c>
      <c r="Z686" s="213" t="s">
        <v>3531</v>
      </c>
      <c r="AA686" s="213">
        <v>100</v>
      </c>
      <c r="AB686" s="213">
        <v>100</v>
      </c>
      <c r="AC686" s="207" t="s">
        <v>4530</v>
      </c>
      <c r="AD686"/>
      <c r="AE686" s="206"/>
      <c r="AF686" s="94"/>
      <c r="AG686" s="94"/>
      <c r="AH686" s="94"/>
      <c r="AI686" s="94"/>
      <c r="AJ686" s="94"/>
      <c r="AK686" s="94"/>
      <c r="AL686" s="94"/>
      <c r="AM686" s="254"/>
      <c r="AN686" s="254"/>
      <c r="AO686" s="94"/>
      <c r="AP686" s="94"/>
      <c r="AQ686" s="94"/>
      <c r="AR686" s="94"/>
      <c r="AS686" s="207"/>
    </row>
    <row r="687" spans="13:45" ht="12.75">
      <c r="M687" s="104"/>
      <c r="O687" s="206" t="s">
        <v>2329</v>
      </c>
      <c r="P687" s="94" t="s">
        <v>4609</v>
      </c>
      <c r="Q687" s="180">
        <v>887420</v>
      </c>
      <c r="R687" s="258">
        <v>6300</v>
      </c>
      <c r="S687" s="259">
        <v>100</v>
      </c>
      <c r="T687" s="213" t="s">
        <v>5012</v>
      </c>
      <c r="U687" s="213">
        <v>4</v>
      </c>
      <c r="V687" s="213" t="s">
        <v>3443</v>
      </c>
      <c r="W687" s="213" t="s">
        <v>3572</v>
      </c>
      <c r="X687" s="213" t="s">
        <v>3445</v>
      </c>
      <c r="Y687" s="213" t="s">
        <v>4999</v>
      </c>
      <c r="Z687" s="213" t="s">
        <v>3531</v>
      </c>
      <c r="AA687" s="213">
        <v>100</v>
      </c>
      <c r="AB687" s="213">
        <v>100</v>
      </c>
      <c r="AC687" s="207" t="s">
        <v>4530</v>
      </c>
      <c r="AD687"/>
      <c r="AE687" s="206"/>
      <c r="AF687" s="94"/>
      <c r="AG687" s="94"/>
      <c r="AH687" s="94"/>
      <c r="AI687" s="94"/>
      <c r="AJ687" s="94"/>
      <c r="AK687" s="94"/>
      <c r="AL687" s="94"/>
      <c r="AM687" s="254"/>
      <c r="AN687" s="254"/>
      <c r="AO687" s="94"/>
      <c r="AP687" s="94"/>
      <c r="AQ687" s="94"/>
      <c r="AR687" s="94"/>
      <c r="AS687" s="207"/>
    </row>
    <row r="688" spans="13:45" ht="12.75">
      <c r="M688" s="104"/>
      <c r="O688" s="206" t="s">
        <v>2330</v>
      </c>
      <c r="P688" s="94" t="s">
        <v>4610</v>
      </c>
      <c r="Q688" s="180">
        <v>880203</v>
      </c>
      <c r="R688" s="258">
        <v>6300</v>
      </c>
      <c r="S688" s="259">
        <v>100</v>
      </c>
      <c r="T688" s="213" t="s">
        <v>5012</v>
      </c>
      <c r="U688" s="213">
        <v>4</v>
      </c>
      <c r="V688" s="213" t="s">
        <v>3443</v>
      </c>
      <c r="W688" s="213" t="s">
        <v>3572</v>
      </c>
      <c r="X688" s="213" t="s">
        <v>3445</v>
      </c>
      <c r="Y688" s="213" t="s">
        <v>4996</v>
      </c>
      <c r="Z688" s="213" t="s">
        <v>3531</v>
      </c>
      <c r="AA688" s="213">
        <v>100</v>
      </c>
      <c r="AB688" s="213">
        <v>100</v>
      </c>
      <c r="AC688" s="207" t="s">
        <v>4530</v>
      </c>
      <c r="AD688"/>
      <c r="AE688" s="206"/>
      <c r="AF688" s="94"/>
      <c r="AG688" s="94"/>
      <c r="AH688" s="94"/>
      <c r="AI688" s="94"/>
      <c r="AJ688" s="94"/>
      <c r="AK688" s="94"/>
      <c r="AL688" s="94"/>
      <c r="AM688" s="254"/>
      <c r="AN688" s="254"/>
      <c r="AO688" s="94"/>
      <c r="AP688" s="94"/>
      <c r="AQ688" s="94"/>
      <c r="AR688" s="94"/>
      <c r="AS688" s="207"/>
    </row>
    <row r="689" spans="13:45" ht="12.75">
      <c r="M689" s="104"/>
      <c r="O689" s="206" t="s">
        <v>2331</v>
      </c>
      <c r="P689" s="94" t="s">
        <v>1534</v>
      </c>
      <c r="Q689" s="180">
        <v>1070386</v>
      </c>
      <c r="R689" s="258">
        <v>6300</v>
      </c>
      <c r="S689" s="259">
        <v>150</v>
      </c>
      <c r="T689" s="213" t="s">
        <v>5012</v>
      </c>
      <c r="U689" s="213">
        <v>4</v>
      </c>
      <c r="V689" s="213" t="s">
        <v>3443</v>
      </c>
      <c r="W689" s="213" t="s">
        <v>3572</v>
      </c>
      <c r="X689" s="213" t="s">
        <v>3441</v>
      </c>
      <c r="Y689" s="213" t="s">
        <v>4995</v>
      </c>
      <c r="Z689" s="213" t="s">
        <v>1406</v>
      </c>
      <c r="AA689" s="213">
        <v>100</v>
      </c>
      <c r="AB689" s="213">
        <v>125</v>
      </c>
      <c r="AC689" s="207" t="s">
        <v>4530</v>
      </c>
      <c r="AD689"/>
      <c r="AE689" s="206"/>
      <c r="AF689" s="94"/>
      <c r="AG689" s="94"/>
      <c r="AH689" s="94"/>
      <c r="AI689" s="94"/>
      <c r="AJ689" s="94"/>
      <c r="AK689" s="94"/>
      <c r="AL689" s="94"/>
      <c r="AM689" s="254"/>
      <c r="AN689" s="254"/>
      <c r="AO689" s="94"/>
      <c r="AP689" s="94"/>
      <c r="AQ689" s="94"/>
      <c r="AR689" s="94"/>
      <c r="AS689" s="207"/>
    </row>
    <row r="690" spans="13:45" ht="12.75">
      <c r="M690" s="104"/>
      <c r="O690" s="206" t="s">
        <v>2332</v>
      </c>
      <c r="P690" s="94" t="s">
        <v>1535</v>
      </c>
      <c r="Q690" s="180">
        <v>1083235</v>
      </c>
      <c r="R690" s="258">
        <v>6300</v>
      </c>
      <c r="S690" s="259">
        <v>150</v>
      </c>
      <c r="T690" s="213" t="s">
        <v>5012</v>
      </c>
      <c r="U690" s="213">
        <v>4</v>
      </c>
      <c r="V690" s="213" t="s">
        <v>3443</v>
      </c>
      <c r="W690" s="213" t="s">
        <v>3572</v>
      </c>
      <c r="X690" s="213" t="s">
        <v>3441</v>
      </c>
      <c r="Y690" s="213" t="s">
        <v>4999</v>
      </c>
      <c r="Z690" s="213" t="s">
        <v>1406</v>
      </c>
      <c r="AA690" s="213">
        <v>100</v>
      </c>
      <c r="AB690" s="213">
        <v>125</v>
      </c>
      <c r="AC690" s="207" t="s">
        <v>4530</v>
      </c>
      <c r="AD690"/>
      <c r="AE690" s="206"/>
      <c r="AF690" s="94"/>
      <c r="AG690" s="94"/>
      <c r="AH690" s="94"/>
      <c r="AI690" s="94"/>
      <c r="AJ690" s="94"/>
      <c r="AK690" s="94"/>
      <c r="AL690" s="94"/>
      <c r="AM690" s="254"/>
      <c r="AN690" s="254"/>
      <c r="AO690" s="94"/>
      <c r="AP690" s="94"/>
      <c r="AQ690" s="94"/>
      <c r="AR690" s="94"/>
      <c r="AS690" s="207"/>
    </row>
    <row r="691" spans="13:45" ht="12.75">
      <c r="M691" s="104"/>
      <c r="O691" s="206" t="s">
        <v>2333</v>
      </c>
      <c r="P691" s="94" t="s">
        <v>1536</v>
      </c>
      <c r="Q691" s="180">
        <v>1076016</v>
      </c>
      <c r="R691" s="258">
        <v>6300</v>
      </c>
      <c r="S691" s="259">
        <v>150</v>
      </c>
      <c r="T691" s="213" t="s">
        <v>5012</v>
      </c>
      <c r="U691" s="213">
        <v>4</v>
      </c>
      <c r="V691" s="213" t="s">
        <v>3443</v>
      </c>
      <c r="W691" s="213" t="s">
        <v>3572</v>
      </c>
      <c r="X691" s="213" t="s">
        <v>3441</v>
      </c>
      <c r="Y691" s="213" t="s">
        <v>4996</v>
      </c>
      <c r="Z691" s="213" t="s">
        <v>1406</v>
      </c>
      <c r="AA691" s="213">
        <v>100</v>
      </c>
      <c r="AB691" s="213">
        <v>125</v>
      </c>
      <c r="AC691" s="207" t="s">
        <v>4530</v>
      </c>
      <c r="AD691"/>
      <c r="AE691" s="206"/>
      <c r="AF691" s="94"/>
      <c r="AG691" s="94"/>
      <c r="AH691" s="94"/>
      <c r="AI691" s="94"/>
      <c r="AJ691" s="94"/>
      <c r="AK691" s="94"/>
      <c r="AL691" s="94"/>
      <c r="AM691" s="254"/>
      <c r="AN691" s="254"/>
      <c r="AO691" s="94"/>
      <c r="AP691" s="94"/>
      <c r="AQ691" s="94"/>
      <c r="AR691" s="94"/>
      <c r="AS691" s="207"/>
    </row>
    <row r="692" spans="13:45" ht="12.75">
      <c r="M692" s="104"/>
      <c r="O692" s="206" t="s">
        <v>2334</v>
      </c>
      <c r="P692" s="94" t="s">
        <v>1537</v>
      </c>
      <c r="Q692" s="180">
        <v>1107443</v>
      </c>
      <c r="R692" s="258">
        <v>6300</v>
      </c>
      <c r="S692" s="259">
        <v>150</v>
      </c>
      <c r="T692" s="213" t="s">
        <v>5012</v>
      </c>
      <c r="U692" s="213">
        <v>4</v>
      </c>
      <c r="V692" s="213" t="s">
        <v>3443</v>
      </c>
      <c r="W692" s="213" t="s">
        <v>3572</v>
      </c>
      <c r="X692" s="213" t="s">
        <v>3445</v>
      </c>
      <c r="Y692" s="213" t="s">
        <v>4999</v>
      </c>
      <c r="Z692" s="213" t="s">
        <v>1406</v>
      </c>
      <c r="AA692" s="213">
        <v>100</v>
      </c>
      <c r="AB692" s="213">
        <v>125</v>
      </c>
      <c r="AC692" s="207" t="s">
        <v>4530</v>
      </c>
      <c r="AD692"/>
      <c r="AE692" s="206"/>
      <c r="AF692" s="94"/>
      <c r="AG692" s="94"/>
      <c r="AH692" s="94"/>
      <c r="AI692" s="94"/>
      <c r="AJ692" s="94"/>
      <c r="AK692" s="94"/>
      <c r="AL692" s="94"/>
      <c r="AM692" s="254"/>
      <c r="AN692" s="254"/>
      <c r="AO692" s="94"/>
      <c r="AP692" s="94"/>
      <c r="AQ692" s="94"/>
      <c r="AR692" s="94"/>
      <c r="AS692" s="207"/>
    </row>
    <row r="693" spans="13:45" ht="12.75">
      <c r="M693" s="104"/>
      <c r="O693" s="206" t="s">
        <v>2335</v>
      </c>
      <c r="P693" s="94" t="s">
        <v>1538</v>
      </c>
      <c r="Q693" s="180">
        <v>1100226</v>
      </c>
      <c r="R693" s="258">
        <v>6300</v>
      </c>
      <c r="S693" s="259">
        <v>150</v>
      </c>
      <c r="T693" s="213" t="s">
        <v>5012</v>
      </c>
      <c r="U693" s="213">
        <v>4</v>
      </c>
      <c r="V693" s="213" t="s">
        <v>3443</v>
      </c>
      <c r="W693" s="213" t="s">
        <v>3572</v>
      </c>
      <c r="X693" s="213" t="s">
        <v>3445</v>
      </c>
      <c r="Y693" s="213" t="s">
        <v>4996</v>
      </c>
      <c r="Z693" s="213" t="s">
        <v>1406</v>
      </c>
      <c r="AA693" s="213">
        <v>100</v>
      </c>
      <c r="AB693" s="213">
        <v>125</v>
      </c>
      <c r="AC693" s="207" t="s">
        <v>4530</v>
      </c>
      <c r="AD693"/>
      <c r="AE693" s="206"/>
      <c r="AF693" s="94"/>
      <c r="AG693" s="94"/>
      <c r="AH693" s="94"/>
      <c r="AI693" s="94"/>
      <c r="AJ693" s="94"/>
      <c r="AK693" s="94"/>
      <c r="AL693" s="94"/>
      <c r="AM693" s="254"/>
      <c r="AN693" s="254"/>
      <c r="AO693" s="94"/>
      <c r="AP693" s="94"/>
      <c r="AQ693" s="94"/>
      <c r="AR693" s="94"/>
      <c r="AS693" s="207"/>
    </row>
    <row r="694" spans="13:45" ht="12.75">
      <c r="M694" s="104"/>
      <c r="O694" s="206" t="s">
        <v>2336</v>
      </c>
      <c r="P694" s="94" t="s">
        <v>1539</v>
      </c>
      <c r="Q694" s="180">
        <v>34464</v>
      </c>
      <c r="R694" s="258" t="s">
        <v>1540</v>
      </c>
      <c r="S694" s="259" t="s">
        <v>1540</v>
      </c>
      <c r="T694" s="213" t="s">
        <v>4994</v>
      </c>
      <c r="U694" s="213">
        <v>3</v>
      </c>
      <c r="V694" s="213" t="s">
        <v>3443</v>
      </c>
      <c r="W694" s="213" t="s">
        <v>3363</v>
      </c>
      <c r="X694" s="213" t="s">
        <v>1540</v>
      </c>
      <c r="Y694" s="213" t="s">
        <v>1540</v>
      </c>
      <c r="Z694" s="213" t="s">
        <v>1540</v>
      </c>
      <c r="AA694" s="213" t="s">
        <v>1540</v>
      </c>
      <c r="AB694" s="213" t="s">
        <v>1540</v>
      </c>
      <c r="AC694" s="207" t="s">
        <v>1540</v>
      </c>
      <c r="AD694"/>
      <c r="AE694" s="206"/>
      <c r="AF694" s="94"/>
      <c r="AG694" s="94"/>
      <c r="AH694" s="94"/>
      <c r="AI694" s="94"/>
      <c r="AJ694" s="94"/>
      <c r="AK694" s="94"/>
      <c r="AL694" s="94"/>
      <c r="AM694" s="254"/>
      <c r="AN694" s="254"/>
      <c r="AO694" s="94"/>
      <c r="AP694" s="94"/>
      <c r="AQ694" s="94"/>
      <c r="AR694" s="94"/>
      <c r="AS694" s="207"/>
    </row>
    <row r="695" spans="13:45" ht="12.75">
      <c r="M695" s="104"/>
      <c r="O695" s="206" t="s">
        <v>2337</v>
      </c>
      <c r="P695" s="94" t="s">
        <v>1541</v>
      </c>
      <c r="Q695" s="180">
        <v>24138</v>
      </c>
      <c r="R695" s="258" t="s">
        <v>1540</v>
      </c>
      <c r="S695" s="259" t="s">
        <v>1540</v>
      </c>
      <c r="T695" s="213" t="s">
        <v>4994</v>
      </c>
      <c r="U695" s="213">
        <v>3</v>
      </c>
      <c r="V695" s="213" t="s">
        <v>3443</v>
      </c>
      <c r="W695" s="213" t="s">
        <v>3364</v>
      </c>
      <c r="X695" s="213" t="s">
        <v>1540</v>
      </c>
      <c r="Y695" s="213" t="s">
        <v>1540</v>
      </c>
      <c r="Z695" s="213" t="s">
        <v>1540</v>
      </c>
      <c r="AA695" s="213" t="s">
        <v>1540</v>
      </c>
      <c r="AB695" s="213" t="s">
        <v>1540</v>
      </c>
      <c r="AC695" s="207" t="s">
        <v>1540</v>
      </c>
      <c r="AD695"/>
      <c r="AE695" s="206"/>
      <c r="AF695" s="94"/>
      <c r="AG695" s="94"/>
      <c r="AH695" s="94"/>
      <c r="AI695" s="94"/>
      <c r="AJ695" s="94"/>
      <c r="AK695" s="94"/>
      <c r="AL695" s="94"/>
      <c r="AM695" s="254"/>
      <c r="AN695" s="254"/>
      <c r="AO695" s="94"/>
      <c r="AP695" s="94"/>
      <c r="AQ695" s="94"/>
      <c r="AR695" s="94"/>
      <c r="AS695" s="207"/>
    </row>
    <row r="696" spans="13:45" ht="12.75">
      <c r="M696" s="104"/>
      <c r="O696" s="206" t="s">
        <v>2338</v>
      </c>
      <c r="P696" s="94" t="s">
        <v>1542</v>
      </c>
      <c r="Q696" s="180">
        <v>24138</v>
      </c>
      <c r="R696" s="258" t="s">
        <v>1540</v>
      </c>
      <c r="S696" s="259" t="s">
        <v>1540</v>
      </c>
      <c r="T696" s="213" t="s">
        <v>4994</v>
      </c>
      <c r="U696" s="213">
        <v>3</v>
      </c>
      <c r="V696" s="213" t="s">
        <v>3443</v>
      </c>
      <c r="W696" s="213" t="s">
        <v>3361</v>
      </c>
      <c r="X696" s="213" t="s">
        <v>1540</v>
      </c>
      <c r="Y696" s="213" t="s">
        <v>1540</v>
      </c>
      <c r="Z696" s="213" t="s">
        <v>1540</v>
      </c>
      <c r="AA696" s="213" t="s">
        <v>1540</v>
      </c>
      <c r="AB696" s="213" t="s">
        <v>1540</v>
      </c>
      <c r="AC696" s="207" t="s">
        <v>1540</v>
      </c>
      <c r="AD696"/>
      <c r="AE696" s="206"/>
      <c r="AF696" s="94"/>
      <c r="AG696" s="94"/>
      <c r="AH696" s="94"/>
      <c r="AI696" s="94"/>
      <c r="AJ696" s="94"/>
      <c r="AK696" s="94"/>
      <c r="AL696" s="94"/>
      <c r="AM696" s="254"/>
      <c r="AN696" s="254"/>
      <c r="AO696" s="94"/>
      <c r="AP696" s="94"/>
      <c r="AQ696" s="94"/>
      <c r="AR696" s="94"/>
      <c r="AS696" s="207"/>
    </row>
    <row r="697" spans="13:45" ht="12.75">
      <c r="M697" s="104"/>
      <c r="O697" s="206" t="s">
        <v>2339</v>
      </c>
      <c r="P697" s="94" t="s">
        <v>1543</v>
      </c>
      <c r="Q697" s="180">
        <v>29853</v>
      </c>
      <c r="R697" s="258" t="s">
        <v>1540</v>
      </c>
      <c r="S697" s="259" t="s">
        <v>1540</v>
      </c>
      <c r="T697" s="213" t="s">
        <v>4994</v>
      </c>
      <c r="U697" s="213">
        <v>3</v>
      </c>
      <c r="V697" s="213" t="s">
        <v>3443</v>
      </c>
      <c r="W697" s="213" t="s">
        <v>3362</v>
      </c>
      <c r="X697" s="213" t="s">
        <v>1540</v>
      </c>
      <c r="Y697" s="213" t="s">
        <v>1540</v>
      </c>
      <c r="Z697" s="213" t="s">
        <v>1540</v>
      </c>
      <c r="AA697" s="213" t="s">
        <v>1540</v>
      </c>
      <c r="AB697" s="213" t="s">
        <v>1540</v>
      </c>
      <c r="AC697" s="207" t="s">
        <v>1540</v>
      </c>
      <c r="AD697"/>
      <c r="AE697" s="206"/>
      <c r="AF697" s="94"/>
      <c r="AG697" s="94"/>
      <c r="AH697" s="94"/>
      <c r="AI697" s="94"/>
      <c r="AJ697" s="94"/>
      <c r="AK697" s="94"/>
      <c r="AL697" s="94"/>
      <c r="AM697" s="254"/>
      <c r="AN697" s="254"/>
      <c r="AO697" s="94"/>
      <c r="AP697" s="94"/>
      <c r="AQ697" s="94"/>
      <c r="AR697" s="94"/>
      <c r="AS697" s="207"/>
    </row>
    <row r="698" spans="13:45" ht="12.75">
      <c r="M698" s="104"/>
      <c r="O698" s="206" t="s">
        <v>2340</v>
      </c>
      <c r="P698" s="94" t="s">
        <v>4121</v>
      </c>
      <c r="Q698" s="180">
        <v>44908</v>
      </c>
      <c r="R698" s="258" t="s">
        <v>1540</v>
      </c>
      <c r="S698" s="259" t="s">
        <v>1540</v>
      </c>
      <c r="T698" s="213" t="s">
        <v>4994</v>
      </c>
      <c r="U698" s="213">
        <v>4</v>
      </c>
      <c r="V698" s="213" t="s">
        <v>3443</v>
      </c>
      <c r="W698" s="213" t="s">
        <v>3363</v>
      </c>
      <c r="X698" s="213" t="s">
        <v>1540</v>
      </c>
      <c r="Y698" s="213" t="s">
        <v>1540</v>
      </c>
      <c r="Z698" s="213" t="s">
        <v>1540</v>
      </c>
      <c r="AA698" s="213" t="s">
        <v>1540</v>
      </c>
      <c r="AB698" s="213" t="s">
        <v>1540</v>
      </c>
      <c r="AC698" s="207" t="s">
        <v>1540</v>
      </c>
      <c r="AD698"/>
      <c r="AE698" s="206"/>
      <c r="AF698" s="94"/>
      <c r="AG698" s="94"/>
      <c r="AH698" s="94"/>
      <c r="AI698" s="94"/>
      <c r="AJ698" s="94"/>
      <c r="AK698" s="94"/>
      <c r="AL698" s="94"/>
      <c r="AM698" s="254"/>
      <c r="AN698" s="254"/>
      <c r="AO698" s="94"/>
      <c r="AP698" s="94"/>
      <c r="AQ698" s="94"/>
      <c r="AR698" s="94"/>
      <c r="AS698" s="207"/>
    </row>
    <row r="699" spans="13:45" ht="12.75">
      <c r="M699" s="104"/>
      <c r="O699" s="206" t="s">
        <v>2341</v>
      </c>
      <c r="P699" s="94" t="s">
        <v>4122</v>
      </c>
      <c r="Q699" s="180">
        <v>31027</v>
      </c>
      <c r="R699" s="258" t="s">
        <v>1540</v>
      </c>
      <c r="S699" s="259" t="s">
        <v>1540</v>
      </c>
      <c r="T699" s="213" t="s">
        <v>4994</v>
      </c>
      <c r="U699" s="213">
        <v>4</v>
      </c>
      <c r="V699" s="213" t="s">
        <v>3443</v>
      </c>
      <c r="W699" s="213" t="s">
        <v>3364</v>
      </c>
      <c r="X699" s="213" t="s">
        <v>1540</v>
      </c>
      <c r="Y699" s="213" t="s">
        <v>1540</v>
      </c>
      <c r="Z699" s="213" t="s">
        <v>1540</v>
      </c>
      <c r="AA699" s="213" t="s">
        <v>1540</v>
      </c>
      <c r="AB699" s="213" t="s">
        <v>1540</v>
      </c>
      <c r="AC699" s="207" t="s">
        <v>1540</v>
      </c>
      <c r="AD699"/>
      <c r="AE699" s="206"/>
      <c r="AF699" s="94"/>
      <c r="AG699" s="94"/>
      <c r="AH699" s="94"/>
      <c r="AI699" s="94"/>
      <c r="AJ699" s="94"/>
      <c r="AK699" s="94"/>
      <c r="AL699" s="94"/>
      <c r="AM699" s="254"/>
      <c r="AN699" s="254"/>
      <c r="AO699" s="94"/>
      <c r="AP699" s="94"/>
      <c r="AQ699" s="94"/>
      <c r="AR699" s="94"/>
      <c r="AS699" s="207"/>
    </row>
    <row r="700" spans="13:45" ht="12.75">
      <c r="M700" s="104"/>
      <c r="O700" s="206" t="s">
        <v>2342</v>
      </c>
      <c r="P700" s="94" t="s">
        <v>4123</v>
      </c>
      <c r="Q700" s="180">
        <v>31027</v>
      </c>
      <c r="R700" s="258" t="s">
        <v>1540</v>
      </c>
      <c r="S700" s="259" t="s">
        <v>1540</v>
      </c>
      <c r="T700" s="213" t="s">
        <v>4994</v>
      </c>
      <c r="U700" s="213">
        <v>4</v>
      </c>
      <c r="V700" s="213" t="s">
        <v>3443</v>
      </c>
      <c r="W700" s="213" t="s">
        <v>3361</v>
      </c>
      <c r="X700" s="213" t="s">
        <v>1540</v>
      </c>
      <c r="Y700" s="213" t="s">
        <v>1540</v>
      </c>
      <c r="Z700" s="213" t="s">
        <v>1540</v>
      </c>
      <c r="AA700" s="213" t="s">
        <v>1540</v>
      </c>
      <c r="AB700" s="213" t="s">
        <v>1540</v>
      </c>
      <c r="AC700" s="207" t="s">
        <v>1540</v>
      </c>
      <c r="AD700"/>
      <c r="AE700" s="206"/>
      <c r="AF700" s="94"/>
      <c r="AG700" s="94"/>
      <c r="AH700" s="94"/>
      <c r="AI700" s="94"/>
      <c r="AJ700" s="94"/>
      <c r="AK700" s="94"/>
      <c r="AL700" s="94"/>
      <c r="AM700" s="254"/>
      <c r="AN700" s="254"/>
      <c r="AO700" s="94"/>
      <c r="AP700" s="94"/>
      <c r="AQ700" s="94"/>
      <c r="AR700" s="94"/>
      <c r="AS700" s="207"/>
    </row>
    <row r="701" spans="13:45" ht="12.75">
      <c r="M701" s="104"/>
      <c r="O701" s="206" t="s">
        <v>2343</v>
      </c>
      <c r="P701" s="94" t="s">
        <v>4124</v>
      </c>
      <c r="Q701" s="180">
        <v>38621</v>
      </c>
      <c r="R701" s="258" t="s">
        <v>1540</v>
      </c>
      <c r="S701" s="259" t="s">
        <v>1540</v>
      </c>
      <c r="T701" s="213" t="s">
        <v>4994</v>
      </c>
      <c r="U701" s="213">
        <v>4</v>
      </c>
      <c r="V701" s="213" t="s">
        <v>3443</v>
      </c>
      <c r="W701" s="213" t="s">
        <v>3362</v>
      </c>
      <c r="X701" s="213" t="s">
        <v>1540</v>
      </c>
      <c r="Y701" s="213" t="s">
        <v>1540</v>
      </c>
      <c r="Z701" s="213" t="s">
        <v>1540</v>
      </c>
      <c r="AA701" s="213" t="s">
        <v>1540</v>
      </c>
      <c r="AB701" s="213" t="s">
        <v>1540</v>
      </c>
      <c r="AC701" s="207" t="s">
        <v>1540</v>
      </c>
      <c r="AD701"/>
      <c r="AE701" s="206"/>
      <c r="AF701" s="94"/>
      <c r="AG701" s="94"/>
      <c r="AH701" s="94"/>
      <c r="AI701" s="94"/>
      <c r="AJ701" s="94"/>
      <c r="AK701" s="94"/>
      <c r="AL701" s="94"/>
      <c r="AM701" s="254"/>
      <c r="AN701" s="254"/>
      <c r="AO701" s="94"/>
      <c r="AP701" s="94"/>
      <c r="AQ701" s="94"/>
      <c r="AR701" s="94"/>
      <c r="AS701" s="207"/>
    </row>
    <row r="702" spans="13:45" ht="12.75">
      <c r="M702" s="104"/>
      <c r="O702" s="206" t="s">
        <v>2344</v>
      </c>
      <c r="P702" s="94" t="s">
        <v>4125</v>
      </c>
      <c r="Q702" s="180">
        <v>41593</v>
      </c>
      <c r="R702" s="258" t="s">
        <v>1540</v>
      </c>
      <c r="S702" s="259" t="s">
        <v>1540</v>
      </c>
      <c r="T702" s="213" t="s">
        <v>4997</v>
      </c>
      <c r="U702" s="213">
        <v>3</v>
      </c>
      <c r="V702" s="213" t="s">
        <v>3443</v>
      </c>
      <c r="W702" s="213" t="s">
        <v>3363</v>
      </c>
      <c r="X702" s="213" t="s">
        <v>1540</v>
      </c>
      <c r="Y702" s="213" t="s">
        <v>1540</v>
      </c>
      <c r="Z702" s="213" t="s">
        <v>1540</v>
      </c>
      <c r="AA702" s="213" t="s">
        <v>1540</v>
      </c>
      <c r="AB702" s="213" t="s">
        <v>1540</v>
      </c>
      <c r="AC702" s="207" t="s">
        <v>1540</v>
      </c>
      <c r="AD702"/>
      <c r="AE702" s="206"/>
      <c r="AF702" s="94"/>
      <c r="AG702" s="94"/>
      <c r="AH702" s="94"/>
      <c r="AI702" s="94"/>
      <c r="AJ702" s="94"/>
      <c r="AK702" s="94"/>
      <c r="AL702" s="94"/>
      <c r="AM702" s="254"/>
      <c r="AN702" s="254"/>
      <c r="AO702" s="94"/>
      <c r="AP702" s="94"/>
      <c r="AQ702" s="94"/>
      <c r="AR702" s="94"/>
      <c r="AS702" s="207"/>
    </row>
    <row r="703" spans="13:45" ht="12.75">
      <c r="M703" s="104"/>
      <c r="O703" s="206" t="s">
        <v>2345</v>
      </c>
      <c r="P703" s="94" t="s">
        <v>1652</v>
      </c>
      <c r="Q703" s="180">
        <v>29428</v>
      </c>
      <c r="R703" s="258" t="s">
        <v>1540</v>
      </c>
      <c r="S703" s="259" t="s">
        <v>1540</v>
      </c>
      <c r="T703" s="213" t="s">
        <v>4997</v>
      </c>
      <c r="U703" s="213">
        <v>3</v>
      </c>
      <c r="V703" s="213" t="s">
        <v>3443</v>
      </c>
      <c r="W703" s="213" t="s">
        <v>3364</v>
      </c>
      <c r="X703" s="213" t="s">
        <v>1540</v>
      </c>
      <c r="Y703" s="213" t="s">
        <v>1540</v>
      </c>
      <c r="Z703" s="213" t="s">
        <v>1540</v>
      </c>
      <c r="AA703" s="213" t="s">
        <v>1540</v>
      </c>
      <c r="AB703" s="213" t="s">
        <v>1540</v>
      </c>
      <c r="AC703" s="207" t="s">
        <v>1540</v>
      </c>
      <c r="AD703"/>
      <c r="AE703" s="206"/>
      <c r="AF703" s="94"/>
      <c r="AG703" s="94"/>
      <c r="AH703" s="94"/>
      <c r="AI703" s="94"/>
      <c r="AJ703" s="94"/>
      <c r="AK703" s="94"/>
      <c r="AL703" s="94"/>
      <c r="AM703" s="254"/>
      <c r="AN703" s="254"/>
      <c r="AO703" s="94"/>
      <c r="AP703" s="94"/>
      <c r="AQ703" s="94"/>
      <c r="AR703" s="94"/>
      <c r="AS703" s="207"/>
    </row>
    <row r="704" spans="13:45" ht="12.75">
      <c r="M704" s="104"/>
      <c r="O704" s="206" t="s">
        <v>2346</v>
      </c>
      <c r="P704" s="94" t="s">
        <v>1653</v>
      </c>
      <c r="Q704" s="180">
        <v>29428</v>
      </c>
      <c r="R704" s="258" t="s">
        <v>1540</v>
      </c>
      <c r="S704" s="259" t="s">
        <v>1540</v>
      </c>
      <c r="T704" s="213" t="s">
        <v>4997</v>
      </c>
      <c r="U704" s="213">
        <v>3</v>
      </c>
      <c r="V704" s="213" t="s">
        <v>3443</v>
      </c>
      <c r="W704" s="213" t="s">
        <v>3361</v>
      </c>
      <c r="X704" s="213" t="s">
        <v>1540</v>
      </c>
      <c r="Y704" s="213" t="s">
        <v>1540</v>
      </c>
      <c r="Z704" s="213" t="s">
        <v>1540</v>
      </c>
      <c r="AA704" s="213" t="s">
        <v>1540</v>
      </c>
      <c r="AB704" s="213" t="s">
        <v>1540</v>
      </c>
      <c r="AC704" s="207" t="s">
        <v>1540</v>
      </c>
      <c r="AD704"/>
      <c r="AE704" s="206"/>
      <c r="AF704" s="94"/>
      <c r="AG704" s="94"/>
      <c r="AH704" s="94"/>
      <c r="AI704" s="94"/>
      <c r="AJ704" s="94"/>
      <c r="AK704" s="94"/>
      <c r="AL704" s="94"/>
      <c r="AM704" s="254"/>
      <c r="AN704" s="254"/>
      <c r="AO704" s="94"/>
      <c r="AP704" s="94"/>
      <c r="AQ704" s="94"/>
      <c r="AR704" s="94"/>
      <c r="AS704" s="207"/>
    </row>
    <row r="705" spans="13:45" ht="12.75">
      <c r="M705" s="104"/>
      <c r="O705" s="206" t="s">
        <v>2347</v>
      </c>
      <c r="P705" s="94" t="s">
        <v>1654</v>
      </c>
      <c r="Q705" s="180">
        <v>35142</v>
      </c>
      <c r="R705" s="258" t="s">
        <v>1540</v>
      </c>
      <c r="S705" s="259" t="s">
        <v>1540</v>
      </c>
      <c r="T705" s="213" t="s">
        <v>4997</v>
      </c>
      <c r="U705" s="213">
        <v>3</v>
      </c>
      <c r="V705" s="213" t="s">
        <v>3443</v>
      </c>
      <c r="W705" s="213" t="s">
        <v>3362</v>
      </c>
      <c r="X705" s="213" t="s">
        <v>1540</v>
      </c>
      <c r="Y705" s="213" t="s">
        <v>1540</v>
      </c>
      <c r="Z705" s="213" t="s">
        <v>1540</v>
      </c>
      <c r="AA705" s="213" t="s">
        <v>1540</v>
      </c>
      <c r="AB705" s="213" t="s">
        <v>1540</v>
      </c>
      <c r="AC705" s="207" t="s">
        <v>1540</v>
      </c>
      <c r="AD705"/>
      <c r="AE705" s="206"/>
      <c r="AF705" s="94"/>
      <c r="AG705" s="94"/>
      <c r="AH705" s="94"/>
      <c r="AI705" s="94"/>
      <c r="AJ705" s="94"/>
      <c r="AK705" s="94"/>
      <c r="AL705" s="94"/>
      <c r="AM705" s="254"/>
      <c r="AN705" s="254"/>
      <c r="AO705" s="94"/>
      <c r="AP705" s="94"/>
      <c r="AQ705" s="94"/>
      <c r="AR705" s="94"/>
      <c r="AS705" s="207"/>
    </row>
    <row r="706" spans="13:45" ht="12.75">
      <c r="M706" s="104"/>
      <c r="O706" s="206" t="s">
        <v>2348</v>
      </c>
      <c r="P706" s="94" t="s">
        <v>1655</v>
      </c>
      <c r="Q706" s="180">
        <v>54518</v>
      </c>
      <c r="R706" s="258" t="s">
        <v>1540</v>
      </c>
      <c r="S706" s="259" t="s">
        <v>1540</v>
      </c>
      <c r="T706" s="213" t="s">
        <v>4997</v>
      </c>
      <c r="U706" s="213">
        <v>4</v>
      </c>
      <c r="V706" s="213" t="s">
        <v>3443</v>
      </c>
      <c r="W706" s="213" t="s">
        <v>3363</v>
      </c>
      <c r="X706" s="213" t="s">
        <v>1540</v>
      </c>
      <c r="Y706" s="213" t="s">
        <v>1540</v>
      </c>
      <c r="Z706" s="213" t="s">
        <v>1540</v>
      </c>
      <c r="AA706" s="213" t="s">
        <v>1540</v>
      </c>
      <c r="AB706" s="213" t="s">
        <v>1540</v>
      </c>
      <c r="AC706" s="207" t="s">
        <v>1540</v>
      </c>
      <c r="AD706"/>
      <c r="AE706" s="206"/>
      <c r="AF706" s="94"/>
      <c r="AG706" s="94"/>
      <c r="AH706" s="94"/>
      <c r="AI706" s="94"/>
      <c r="AJ706" s="94"/>
      <c r="AK706" s="94"/>
      <c r="AL706" s="94"/>
      <c r="AM706" s="254"/>
      <c r="AN706" s="254"/>
      <c r="AO706" s="94"/>
      <c r="AP706" s="94"/>
      <c r="AQ706" s="94"/>
      <c r="AR706" s="94"/>
      <c r="AS706" s="207"/>
    </row>
    <row r="707" spans="13:45" ht="12.75">
      <c r="M707" s="104"/>
      <c r="O707" s="206" t="s">
        <v>2349</v>
      </c>
      <c r="P707" s="94" t="s">
        <v>1656</v>
      </c>
      <c r="Q707" s="180">
        <v>38269</v>
      </c>
      <c r="R707" s="258" t="s">
        <v>1540</v>
      </c>
      <c r="S707" s="259" t="s">
        <v>1540</v>
      </c>
      <c r="T707" s="213" t="s">
        <v>4997</v>
      </c>
      <c r="U707" s="213">
        <v>4</v>
      </c>
      <c r="V707" s="213" t="s">
        <v>3443</v>
      </c>
      <c r="W707" s="213" t="s">
        <v>3364</v>
      </c>
      <c r="X707" s="213" t="s">
        <v>1540</v>
      </c>
      <c r="Y707" s="213" t="s">
        <v>1540</v>
      </c>
      <c r="Z707" s="213" t="s">
        <v>1540</v>
      </c>
      <c r="AA707" s="213" t="s">
        <v>1540</v>
      </c>
      <c r="AB707" s="213" t="s">
        <v>1540</v>
      </c>
      <c r="AC707" s="207" t="s">
        <v>1540</v>
      </c>
      <c r="AD707"/>
      <c r="AE707" s="206"/>
      <c r="AF707" s="94"/>
      <c r="AG707" s="94"/>
      <c r="AH707" s="94"/>
      <c r="AI707" s="94"/>
      <c r="AJ707" s="94"/>
      <c r="AK707" s="94"/>
      <c r="AL707" s="94"/>
      <c r="AM707" s="254"/>
      <c r="AN707" s="254"/>
      <c r="AO707" s="94"/>
      <c r="AP707" s="94"/>
      <c r="AQ707" s="94"/>
      <c r="AR707" s="94"/>
      <c r="AS707" s="207"/>
    </row>
    <row r="708" spans="13:45" ht="12.75">
      <c r="M708" s="104"/>
      <c r="O708" s="206" t="s">
        <v>2350</v>
      </c>
      <c r="P708" s="94" t="s">
        <v>1657</v>
      </c>
      <c r="Q708" s="180">
        <v>38269</v>
      </c>
      <c r="R708" s="258" t="s">
        <v>1540</v>
      </c>
      <c r="S708" s="259" t="s">
        <v>1540</v>
      </c>
      <c r="T708" s="213" t="s">
        <v>4997</v>
      </c>
      <c r="U708" s="213">
        <v>4</v>
      </c>
      <c r="V708" s="213" t="s">
        <v>3443</v>
      </c>
      <c r="W708" s="213" t="s">
        <v>3361</v>
      </c>
      <c r="X708" s="213" t="s">
        <v>1540</v>
      </c>
      <c r="Y708" s="213" t="s">
        <v>1540</v>
      </c>
      <c r="Z708" s="213" t="s">
        <v>1540</v>
      </c>
      <c r="AA708" s="213" t="s">
        <v>1540</v>
      </c>
      <c r="AB708" s="213" t="s">
        <v>1540</v>
      </c>
      <c r="AC708" s="207" t="s">
        <v>1540</v>
      </c>
      <c r="AD708"/>
      <c r="AE708" s="206"/>
      <c r="AF708" s="94"/>
      <c r="AG708" s="94"/>
      <c r="AH708" s="94"/>
      <c r="AI708" s="94"/>
      <c r="AJ708" s="94"/>
      <c r="AK708" s="94"/>
      <c r="AL708" s="94"/>
      <c r="AM708" s="254"/>
      <c r="AN708" s="254"/>
      <c r="AO708" s="94"/>
      <c r="AP708" s="94"/>
      <c r="AQ708" s="94"/>
      <c r="AR708" s="94"/>
      <c r="AS708" s="207"/>
    </row>
    <row r="709" spans="13:45" ht="12.75">
      <c r="M709" s="104"/>
      <c r="O709" s="206" t="s">
        <v>2351</v>
      </c>
      <c r="P709" s="94" t="s">
        <v>1551</v>
      </c>
      <c r="Q709" s="180">
        <v>45823</v>
      </c>
      <c r="R709" s="258" t="s">
        <v>1540</v>
      </c>
      <c r="S709" s="259" t="s">
        <v>1540</v>
      </c>
      <c r="T709" s="213" t="s">
        <v>4997</v>
      </c>
      <c r="U709" s="213">
        <v>4</v>
      </c>
      <c r="V709" s="213" t="s">
        <v>3443</v>
      </c>
      <c r="W709" s="213" t="s">
        <v>3362</v>
      </c>
      <c r="X709" s="213" t="s">
        <v>1540</v>
      </c>
      <c r="Y709" s="213" t="s">
        <v>1540</v>
      </c>
      <c r="Z709" s="213" t="s">
        <v>1540</v>
      </c>
      <c r="AA709" s="213" t="s">
        <v>1540</v>
      </c>
      <c r="AB709" s="213" t="s">
        <v>1540</v>
      </c>
      <c r="AC709" s="207" t="s">
        <v>1540</v>
      </c>
      <c r="AD709"/>
      <c r="AE709" s="206"/>
      <c r="AF709" s="94"/>
      <c r="AG709" s="94"/>
      <c r="AH709" s="94"/>
      <c r="AI709" s="94"/>
      <c r="AJ709" s="94"/>
      <c r="AK709" s="94"/>
      <c r="AL709" s="94"/>
      <c r="AM709" s="254"/>
      <c r="AN709" s="254"/>
      <c r="AO709" s="94"/>
      <c r="AP709" s="94"/>
      <c r="AQ709" s="94"/>
      <c r="AR709" s="94"/>
      <c r="AS709" s="207"/>
    </row>
    <row r="710" spans="13:45" ht="12.75">
      <c r="M710" s="104"/>
      <c r="O710" s="206" t="s">
        <v>2352</v>
      </c>
      <c r="P710" s="94" t="s">
        <v>1552</v>
      </c>
      <c r="Q710" s="180">
        <v>53803</v>
      </c>
      <c r="R710" s="258" t="s">
        <v>1540</v>
      </c>
      <c r="S710" s="259" t="s">
        <v>1540</v>
      </c>
      <c r="T710" s="213" t="s">
        <v>5000</v>
      </c>
      <c r="U710" s="213">
        <v>3</v>
      </c>
      <c r="V710" s="213" t="s">
        <v>3443</v>
      </c>
      <c r="W710" s="213" t="s">
        <v>3363</v>
      </c>
      <c r="X710" s="213" t="s">
        <v>1540</v>
      </c>
      <c r="Y710" s="213" t="s">
        <v>1540</v>
      </c>
      <c r="Z710" s="213" t="s">
        <v>1540</v>
      </c>
      <c r="AA710" s="213" t="s">
        <v>1540</v>
      </c>
      <c r="AB710" s="213" t="s">
        <v>1540</v>
      </c>
      <c r="AC710" s="207" t="s">
        <v>1540</v>
      </c>
      <c r="AD710"/>
      <c r="AE710" s="206"/>
      <c r="AF710" s="94"/>
      <c r="AG710" s="94"/>
      <c r="AH710" s="94"/>
      <c r="AI710" s="94"/>
      <c r="AJ710" s="94"/>
      <c r="AK710" s="94"/>
      <c r="AL710" s="94"/>
      <c r="AM710" s="254"/>
      <c r="AN710" s="254"/>
      <c r="AO710" s="94"/>
      <c r="AP710" s="94"/>
      <c r="AQ710" s="94"/>
      <c r="AR710" s="94"/>
      <c r="AS710" s="207"/>
    </row>
    <row r="711" spans="13:45" ht="12.75">
      <c r="M711" s="104"/>
      <c r="O711" s="206" t="s">
        <v>2353</v>
      </c>
      <c r="P711" s="94" t="s">
        <v>1553</v>
      </c>
      <c r="Q711" s="180">
        <v>35145</v>
      </c>
      <c r="R711" s="258" t="s">
        <v>1540</v>
      </c>
      <c r="S711" s="259" t="s">
        <v>1540</v>
      </c>
      <c r="T711" s="213" t="s">
        <v>5000</v>
      </c>
      <c r="U711" s="213">
        <v>3</v>
      </c>
      <c r="V711" s="213" t="s">
        <v>3443</v>
      </c>
      <c r="W711" s="213" t="s">
        <v>3364</v>
      </c>
      <c r="X711" s="213" t="s">
        <v>1540</v>
      </c>
      <c r="Y711" s="213" t="s">
        <v>1540</v>
      </c>
      <c r="Z711" s="213" t="s">
        <v>1540</v>
      </c>
      <c r="AA711" s="213" t="s">
        <v>1540</v>
      </c>
      <c r="AB711" s="213" t="s">
        <v>1540</v>
      </c>
      <c r="AC711" s="207" t="s">
        <v>1540</v>
      </c>
      <c r="AD711"/>
      <c r="AE711" s="206"/>
      <c r="AF711" s="94"/>
      <c r="AG711" s="94"/>
      <c r="AH711" s="94"/>
      <c r="AI711" s="94"/>
      <c r="AJ711" s="94"/>
      <c r="AK711" s="94"/>
      <c r="AL711" s="94"/>
      <c r="AM711" s="254"/>
      <c r="AN711" s="254"/>
      <c r="AO711" s="94"/>
      <c r="AP711" s="94"/>
      <c r="AQ711" s="94"/>
      <c r="AR711" s="94"/>
      <c r="AS711" s="207"/>
    </row>
    <row r="712" spans="13:45" ht="12.75">
      <c r="M712" s="104"/>
      <c r="O712" s="206" t="s">
        <v>2354</v>
      </c>
      <c r="P712" s="94" t="s">
        <v>1554</v>
      </c>
      <c r="Q712" s="180">
        <v>35145</v>
      </c>
      <c r="R712" s="258" t="s">
        <v>1540</v>
      </c>
      <c r="S712" s="259" t="s">
        <v>1540</v>
      </c>
      <c r="T712" s="213" t="s">
        <v>5000</v>
      </c>
      <c r="U712" s="213">
        <v>3</v>
      </c>
      <c r="V712" s="213" t="s">
        <v>3443</v>
      </c>
      <c r="W712" s="213" t="s">
        <v>3361</v>
      </c>
      <c r="X712" s="213" t="s">
        <v>1540</v>
      </c>
      <c r="Y712" s="213" t="s">
        <v>1540</v>
      </c>
      <c r="Z712" s="213" t="s">
        <v>1540</v>
      </c>
      <c r="AA712" s="213" t="s">
        <v>1540</v>
      </c>
      <c r="AB712" s="213" t="s">
        <v>1540</v>
      </c>
      <c r="AC712" s="207" t="s">
        <v>1540</v>
      </c>
      <c r="AD712"/>
      <c r="AE712" s="206"/>
      <c r="AF712" s="94"/>
      <c r="AG712" s="94"/>
      <c r="AH712" s="94"/>
      <c r="AI712" s="94"/>
      <c r="AJ712" s="94"/>
      <c r="AK712" s="94"/>
      <c r="AL712" s="94"/>
      <c r="AM712" s="254"/>
      <c r="AN712" s="254"/>
      <c r="AO712" s="94"/>
      <c r="AP712" s="94"/>
      <c r="AQ712" s="94"/>
      <c r="AR712" s="94"/>
      <c r="AS712" s="207"/>
    </row>
    <row r="713" spans="13:45" ht="12.75">
      <c r="M713" s="104"/>
      <c r="O713" s="206" t="s">
        <v>2355</v>
      </c>
      <c r="P713" s="94" t="s">
        <v>1555</v>
      </c>
      <c r="Q713" s="180">
        <v>50333</v>
      </c>
      <c r="R713" s="258" t="s">
        <v>1540</v>
      </c>
      <c r="S713" s="259" t="s">
        <v>1540</v>
      </c>
      <c r="T713" s="213" t="s">
        <v>5000</v>
      </c>
      <c r="U713" s="213">
        <v>3</v>
      </c>
      <c r="V713" s="213" t="s">
        <v>3443</v>
      </c>
      <c r="W713" s="213" t="s">
        <v>3362</v>
      </c>
      <c r="X713" s="213" t="s">
        <v>1540</v>
      </c>
      <c r="Y713" s="213" t="s">
        <v>1540</v>
      </c>
      <c r="Z713" s="213" t="s">
        <v>1540</v>
      </c>
      <c r="AA713" s="213" t="s">
        <v>1540</v>
      </c>
      <c r="AB713" s="213" t="s">
        <v>1540</v>
      </c>
      <c r="AC713" s="207" t="s">
        <v>1540</v>
      </c>
      <c r="AD713"/>
      <c r="AE713" s="206"/>
      <c r="AF713" s="94"/>
      <c r="AG713" s="94"/>
      <c r="AH713" s="94"/>
      <c r="AI713" s="94"/>
      <c r="AJ713" s="94"/>
      <c r="AK713" s="94"/>
      <c r="AL713" s="94"/>
      <c r="AM713" s="254"/>
      <c r="AN713" s="254"/>
      <c r="AO713" s="94"/>
      <c r="AP713" s="94"/>
      <c r="AQ713" s="94"/>
      <c r="AR713" s="94"/>
      <c r="AS713" s="207"/>
    </row>
    <row r="714" spans="13:45" ht="12.75">
      <c r="M714" s="104"/>
      <c r="O714" s="206" t="s">
        <v>2356</v>
      </c>
      <c r="P714" s="94" t="s">
        <v>1556</v>
      </c>
      <c r="Q714" s="180">
        <v>63469</v>
      </c>
      <c r="R714" s="258" t="s">
        <v>1540</v>
      </c>
      <c r="S714" s="259" t="s">
        <v>1540</v>
      </c>
      <c r="T714" s="213" t="s">
        <v>5000</v>
      </c>
      <c r="U714" s="213">
        <v>4</v>
      </c>
      <c r="V714" s="213" t="s">
        <v>3443</v>
      </c>
      <c r="W714" s="213" t="s">
        <v>3363</v>
      </c>
      <c r="X714" s="213" t="s">
        <v>1540</v>
      </c>
      <c r="Y714" s="213" t="s">
        <v>1540</v>
      </c>
      <c r="Z714" s="213" t="s">
        <v>1540</v>
      </c>
      <c r="AA714" s="213" t="s">
        <v>1540</v>
      </c>
      <c r="AB714" s="213" t="s">
        <v>1540</v>
      </c>
      <c r="AC714" s="207" t="s">
        <v>1540</v>
      </c>
      <c r="AD714"/>
      <c r="AE714" s="206"/>
      <c r="AF714" s="94"/>
      <c r="AG714" s="94"/>
      <c r="AH714" s="94"/>
      <c r="AI714" s="94"/>
      <c r="AJ714" s="94"/>
      <c r="AK714" s="94"/>
      <c r="AL714" s="94"/>
      <c r="AM714" s="254"/>
      <c r="AN714" s="254"/>
      <c r="AO714" s="94"/>
      <c r="AP714" s="94"/>
      <c r="AQ714" s="94"/>
      <c r="AR714" s="94"/>
      <c r="AS714" s="207"/>
    </row>
    <row r="715" spans="13:45" ht="12.75">
      <c r="M715" s="104"/>
      <c r="O715" s="206" t="s">
        <v>2357</v>
      </c>
      <c r="P715" s="94" t="s">
        <v>1557</v>
      </c>
      <c r="Q715" s="180">
        <v>38647</v>
      </c>
      <c r="R715" s="258" t="s">
        <v>1540</v>
      </c>
      <c r="S715" s="259" t="s">
        <v>1540</v>
      </c>
      <c r="T715" s="213" t="s">
        <v>5000</v>
      </c>
      <c r="U715" s="213">
        <v>4</v>
      </c>
      <c r="V715" s="213" t="s">
        <v>3443</v>
      </c>
      <c r="W715" s="213" t="s">
        <v>3364</v>
      </c>
      <c r="X715" s="213" t="s">
        <v>1540</v>
      </c>
      <c r="Y715" s="213" t="s">
        <v>1540</v>
      </c>
      <c r="Z715" s="213" t="s">
        <v>1540</v>
      </c>
      <c r="AA715" s="213" t="s">
        <v>1540</v>
      </c>
      <c r="AB715" s="213" t="s">
        <v>1540</v>
      </c>
      <c r="AC715" s="207" t="s">
        <v>1540</v>
      </c>
      <c r="AD715"/>
      <c r="AE715" s="206"/>
      <c r="AF715" s="94"/>
      <c r="AG715" s="94"/>
      <c r="AH715" s="94"/>
      <c r="AI715" s="94"/>
      <c r="AJ715" s="94"/>
      <c r="AK715" s="94"/>
      <c r="AL715" s="94"/>
      <c r="AM715" s="254"/>
      <c r="AN715" s="254"/>
      <c r="AO715" s="94"/>
      <c r="AP715" s="94"/>
      <c r="AQ715" s="94"/>
      <c r="AR715" s="94"/>
      <c r="AS715" s="207"/>
    </row>
    <row r="716" spans="13:45" ht="12.75">
      <c r="M716" s="104"/>
      <c r="O716" s="206" t="s">
        <v>2358</v>
      </c>
      <c r="P716" s="94" t="s">
        <v>1558</v>
      </c>
      <c r="Q716" s="180">
        <v>38647</v>
      </c>
      <c r="R716" s="258" t="s">
        <v>1540</v>
      </c>
      <c r="S716" s="259" t="s">
        <v>1540</v>
      </c>
      <c r="T716" s="213" t="s">
        <v>5000</v>
      </c>
      <c r="U716" s="213">
        <v>4</v>
      </c>
      <c r="V716" s="213" t="s">
        <v>3443</v>
      </c>
      <c r="W716" s="213" t="s">
        <v>3361</v>
      </c>
      <c r="X716" s="213" t="s">
        <v>1540</v>
      </c>
      <c r="Y716" s="213" t="s">
        <v>1540</v>
      </c>
      <c r="Z716" s="213" t="s">
        <v>1540</v>
      </c>
      <c r="AA716" s="213" t="s">
        <v>1540</v>
      </c>
      <c r="AB716" s="213" t="s">
        <v>1540</v>
      </c>
      <c r="AC716" s="207" t="s">
        <v>1540</v>
      </c>
      <c r="AD716"/>
      <c r="AE716" s="206"/>
      <c r="AF716" s="94"/>
      <c r="AG716" s="94"/>
      <c r="AH716" s="94"/>
      <c r="AI716" s="94"/>
      <c r="AJ716" s="94"/>
      <c r="AK716" s="94"/>
      <c r="AL716" s="94"/>
      <c r="AM716" s="254"/>
      <c r="AN716" s="254"/>
      <c r="AO716" s="94"/>
      <c r="AP716" s="94"/>
      <c r="AQ716" s="94"/>
      <c r="AR716" s="94"/>
      <c r="AS716" s="207"/>
    </row>
    <row r="717" spans="13:45" ht="12.75">
      <c r="M717" s="104"/>
      <c r="O717" s="206" t="s">
        <v>2359</v>
      </c>
      <c r="P717" s="94" t="s">
        <v>1559</v>
      </c>
      <c r="Q717" s="180">
        <v>58897</v>
      </c>
      <c r="R717" s="258" t="s">
        <v>1540</v>
      </c>
      <c r="S717" s="259" t="s">
        <v>1540</v>
      </c>
      <c r="T717" s="213" t="s">
        <v>5000</v>
      </c>
      <c r="U717" s="213">
        <v>4</v>
      </c>
      <c r="V717" s="213" t="s">
        <v>3443</v>
      </c>
      <c r="W717" s="213" t="s">
        <v>3362</v>
      </c>
      <c r="X717" s="213" t="s">
        <v>1540</v>
      </c>
      <c r="Y717" s="213" t="s">
        <v>1540</v>
      </c>
      <c r="Z717" s="213" t="s">
        <v>1540</v>
      </c>
      <c r="AA717" s="213" t="s">
        <v>1540</v>
      </c>
      <c r="AB717" s="213" t="s">
        <v>1540</v>
      </c>
      <c r="AC717" s="207" t="s">
        <v>1540</v>
      </c>
      <c r="AD717"/>
      <c r="AE717" s="206"/>
      <c r="AF717" s="94"/>
      <c r="AG717" s="94"/>
      <c r="AH717" s="94"/>
      <c r="AI717" s="94"/>
      <c r="AJ717" s="94"/>
      <c r="AK717" s="94"/>
      <c r="AL717" s="94"/>
      <c r="AM717" s="254"/>
      <c r="AN717" s="254"/>
      <c r="AO717" s="94"/>
      <c r="AP717" s="94"/>
      <c r="AQ717" s="94"/>
      <c r="AR717" s="94"/>
      <c r="AS717" s="207"/>
    </row>
    <row r="718" spans="13:45" ht="12.75">
      <c r="M718" s="104"/>
      <c r="O718" s="206" t="s">
        <v>2360</v>
      </c>
      <c r="P718" s="94" t="s">
        <v>1560</v>
      </c>
      <c r="Q718" s="180">
        <v>80922</v>
      </c>
      <c r="R718" s="258" t="s">
        <v>1540</v>
      </c>
      <c r="S718" s="259" t="s">
        <v>1540</v>
      </c>
      <c r="T718" s="213" t="s">
        <v>5010</v>
      </c>
      <c r="U718" s="213">
        <v>3</v>
      </c>
      <c r="V718" s="213" t="s">
        <v>3443</v>
      </c>
      <c r="W718" s="213" t="s">
        <v>3363</v>
      </c>
      <c r="X718" s="213" t="s">
        <v>1540</v>
      </c>
      <c r="Y718" s="213" t="s">
        <v>1540</v>
      </c>
      <c r="Z718" s="213" t="s">
        <v>1540</v>
      </c>
      <c r="AA718" s="213" t="s">
        <v>1540</v>
      </c>
      <c r="AB718" s="213" t="s">
        <v>1540</v>
      </c>
      <c r="AC718" s="207" t="s">
        <v>1540</v>
      </c>
      <c r="AD718"/>
      <c r="AE718" s="206"/>
      <c r="AF718" s="94"/>
      <c r="AG718" s="94"/>
      <c r="AH718" s="94"/>
      <c r="AI718" s="94"/>
      <c r="AJ718" s="94"/>
      <c r="AK718" s="94"/>
      <c r="AL718" s="94"/>
      <c r="AM718" s="254"/>
      <c r="AN718" s="254"/>
      <c r="AO718" s="94"/>
      <c r="AP718" s="94"/>
      <c r="AQ718" s="94"/>
      <c r="AR718" s="94"/>
      <c r="AS718" s="207"/>
    </row>
    <row r="719" spans="13:45" ht="12.75">
      <c r="M719" s="104"/>
      <c r="O719" s="206" t="s">
        <v>2361</v>
      </c>
      <c r="P719" s="94" t="s">
        <v>1561</v>
      </c>
      <c r="Q719" s="180">
        <v>54059</v>
      </c>
      <c r="R719" s="258" t="s">
        <v>1540</v>
      </c>
      <c r="S719" s="259" t="s">
        <v>1540</v>
      </c>
      <c r="T719" s="213" t="s">
        <v>5010</v>
      </c>
      <c r="U719" s="213">
        <v>3</v>
      </c>
      <c r="V719" s="213" t="s">
        <v>3443</v>
      </c>
      <c r="W719" s="213" t="s">
        <v>3364</v>
      </c>
      <c r="X719" s="213" t="s">
        <v>1540</v>
      </c>
      <c r="Y719" s="213" t="s">
        <v>1540</v>
      </c>
      <c r="Z719" s="213" t="s">
        <v>1540</v>
      </c>
      <c r="AA719" s="213" t="s">
        <v>1540</v>
      </c>
      <c r="AB719" s="213" t="s">
        <v>1540</v>
      </c>
      <c r="AC719" s="207" t="s">
        <v>1540</v>
      </c>
      <c r="AD719"/>
      <c r="AE719" s="206"/>
      <c r="AF719" s="94"/>
      <c r="AG719" s="94"/>
      <c r="AH719" s="94"/>
      <c r="AI719" s="94"/>
      <c r="AJ719" s="94"/>
      <c r="AK719" s="94"/>
      <c r="AL719" s="94"/>
      <c r="AM719" s="254"/>
      <c r="AN719" s="254"/>
      <c r="AO719" s="94"/>
      <c r="AP719" s="94"/>
      <c r="AQ719" s="94"/>
      <c r="AR719" s="94"/>
      <c r="AS719" s="207"/>
    </row>
    <row r="720" spans="13:45" ht="12.75">
      <c r="M720" s="104"/>
      <c r="O720" s="206" t="s">
        <v>2362</v>
      </c>
      <c r="P720" s="94" t="s">
        <v>1562</v>
      </c>
      <c r="Q720" s="180">
        <v>54059</v>
      </c>
      <c r="R720" s="258" t="s">
        <v>1540</v>
      </c>
      <c r="S720" s="259" t="s">
        <v>1540</v>
      </c>
      <c r="T720" s="213" t="s">
        <v>5010</v>
      </c>
      <c r="U720" s="213">
        <v>3</v>
      </c>
      <c r="V720" s="213" t="s">
        <v>3443</v>
      </c>
      <c r="W720" s="213" t="s">
        <v>3361</v>
      </c>
      <c r="X720" s="213" t="s">
        <v>1540</v>
      </c>
      <c r="Y720" s="213" t="s">
        <v>1540</v>
      </c>
      <c r="Z720" s="213" t="s">
        <v>1540</v>
      </c>
      <c r="AA720" s="213" t="s">
        <v>1540</v>
      </c>
      <c r="AB720" s="213" t="s">
        <v>1540</v>
      </c>
      <c r="AC720" s="207" t="s">
        <v>1540</v>
      </c>
      <c r="AD720"/>
      <c r="AE720" s="206"/>
      <c r="AF720" s="94"/>
      <c r="AG720" s="94"/>
      <c r="AH720" s="94"/>
      <c r="AI720" s="94"/>
      <c r="AJ720" s="94"/>
      <c r="AK720" s="94"/>
      <c r="AL720" s="94"/>
      <c r="AM720" s="254"/>
      <c r="AN720" s="254"/>
      <c r="AO720" s="94"/>
      <c r="AP720" s="94"/>
      <c r="AQ720" s="94"/>
      <c r="AR720" s="94"/>
      <c r="AS720" s="207"/>
    </row>
    <row r="721" spans="13:45" ht="12.75">
      <c r="M721" s="104"/>
      <c r="O721" s="206" t="s">
        <v>2363</v>
      </c>
      <c r="P721" s="94" t="s">
        <v>1563</v>
      </c>
      <c r="Q721" s="180">
        <v>77493</v>
      </c>
      <c r="R721" s="258" t="s">
        <v>1540</v>
      </c>
      <c r="S721" s="259" t="s">
        <v>1540</v>
      </c>
      <c r="T721" s="213" t="s">
        <v>5010</v>
      </c>
      <c r="U721" s="213">
        <v>3</v>
      </c>
      <c r="V721" s="213" t="s">
        <v>3443</v>
      </c>
      <c r="W721" s="213" t="s">
        <v>3362</v>
      </c>
      <c r="X721" s="213" t="s">
        <v>1540</v>
      </c>
      <c r="Y721" s="213" t="s">
        <v>1540</v>
      </c>
      <c r="Z721" s="213" t="s">
        <v>1540</v>
      </c>
      <c r="AA721" s="213" t="s">
        <v>1540</v>
      </c>
      <c r="AB721" s="213" t="s">
        <v>1540</v>
      </c>
      <c r="AC721" s="207" t="s">
        <v>1540</v>
      </c>
      <c r="AD721"/>
      <c r="AE721" s="206"/>
      <c r="AF721" s="94"/>
      <c r="AG721" s="94"/>
      <c r="AH721" s="94"/>
      <c r="AI721" s="94"/>
      <c r="AJ721" s="94"/>
      <c r="AK721" s="94"/>
      <c r="AL721" s="94"/>
      <c r="AM721" s="254"/>
      <c r="AN721" s="254"/>
      <c r="AO721" s="94"/>
      <c r="AP721" s="94"/>
      <c r="AQ721" s="94"/>
      <c r="AR721" s="94"/>
      <c r="AS721" s="207"/>
    </row>
    <row r="722" spans="13:45" ht="12.75">
      <c r="M722" s="104"/>
      <c r="O722" s="206" t="s">
        <v>2364</v>
      </c>
      <c r="P722" s="94" t="s">
        <v>2141</v>
      </c>
      <c r="Q722" s="180">
        <v>97747</v>
      </c>
      <c r="R722" s="258" t="s">
        <v>1540</v>
      </c>
      <c r="S722" s="259" t="s">
        <v>1540</v>
      </c>
      <c r="T722" s="213" t="s">
        <v>5010</v>
      </c>
      <c r="U722" s="213">
        <v>4</v>
      </c>
      <c r="V722" s="213" t="s">
        <v>3443</v>
      </c>
      <c r="W722" s="213" t="s">
        <v>3363</v>
      </c>
      <c r="X722" s="213" t="s">
        <v>1540</v>
      </c>
      <c r="Y722" s="213" t="s">
        <v>1540</v>
      </c>
      <c r="Z722" s="213" t="s">
        <v>1540</v>
      </c>
      <c r="AA722" s="213" t="s">
        <v>1540</v>
      </c>
      <c r="AB722" s="213" t="s">
        <v>1540</v>
      </c>
      <c r="AC722" s="207" t="s">
        <v>1540</v>
      </c>
      <c r="AD722"/>
      <c r="AE722" s="206"/>
      <c r="AF722" s="94"/>
      <c r="AG722" s="94"/>
      <c r="AH722" s="94"/>
      <c r="AI722" s="94"/>
      <c r="AJ722" s="94"/>
      <c r="AK722" s="94"/>
      <c r="AL722" s="94"/>
      <c r="AM722" s="254"/>
      <c r="AN722" s="254"/>
      <c r="AO722" s="94"/>
      <c r="AP722" s="94"/>
      <c r="AQ722" s="94"/>
      <c r="AR722" s="94"/>
      <c r="AS722" s="207"/>
    </row>
    <row r="723" spans="13:45" ht="12.75">
      <c r="M723" s="104"/>
      <c r="O723" s="206" t="s">
        <v>2365</v>
      </c>
      <c r="P723" s="94" t="s">
        <v>2142</v>
      </c>
      <c r="Q723" s="180">
        <v>62108</v>
      </c>
      <c r="R723" s="258" t="s">
        <v>1540</v>
      </c>
      <c r="S723" s="259" t="s">
        <v>1540</v>
      </c>
      <c r="T723" s="213" t="s">
        <v>5010</v>
      </c>
      <c r="U723" s="213">
        <v>4</v>
      </c>
      <c r="V723" s="213" t="s">
        <v>3443</v>
      </c>
      <c r="W723" s="213" t="s">
        <v>3364</v>
      </c>
      <c r="X723" s="213" t="s">
        <v>1540</v>
      </c>
      <c r="Y723" s="213" t="s">
        <v>1540</v>
      </c>
      <c r="Z723" s="213" t="s">
        <v>1540</v>
      </c>
      <c r="AA723" s="213" t="s">
        <v>1540</v>
      </c>
      <c r="AB723" s="213" t="s">
        <v>1540</v>
      </c>
      <c r="AC723" s="207" t="s">
        <v>1540</v>
      </c>
      <c r="AD723"/>
      <c r="AE723" s="206"/>
      <c r="AF723" s="94"/>
      <c r="AG723" s="94"/>
      <c r="AH723" s="94"/>
      <c r="AI723" s="94"/>
      <c r="AJ723" s="94"/>
      <c r="AK723" s="94"/>
      <c r="AL723" s="94"/>
      <c r="AM723" s="254"/>
      <c r="AN723" s="254"/>
      <c r="AO723" s="94"/>
      <c r="AP723" s="94"/>
      <c r="AQ723" s="94"/>
      <c r="AR723" s="94"/>
      <c r="AS723" s="207"/>
    </row>
    <row r="724" spans="13:45" ht="12.75">
      <c r="M724" s="104"/>
      <c r="O724" s="206" t="s">
        <v>2366</v>
      </c>
      <c r="P724" s="94" t="s">
        <v>2143</v>
      </c>
      <c r="Q724" s="180">
        <v>62108</v>
      </c>
      <c r="R724" s="258" t="s">
        <v>1540</v>
      </c>
      <c r="S724" s="259" t="s">
        <v>1540</v>
      </c>
      <c r="T724" s="213" t="s">
        <v>5010</v>
      </c>
      <c r="U724" s="213">
        <v>4</v>
      </c>
      <c r="V724" s="213" t="s">
        <v>3443</v>
      </c>
      <c r="W724" s="213" t="s">
        <v>3361</v>
      </c>
      <c r="X724" s="213" t="s">
        <v>1540</v>
      </c>
      <c r="Y724" s="213" t="s">
        <v>1540</v>
      </c>
      <c r="Z724" s="213" t="s">
        <v>1540</v>
      </c>
      <c r="AA724" s="213" t="s">
        <v>1540</v>
      </c>
      <c r="AB724" s="213" t="s">
        <v>1540</v>
      </c>
      <c r="AC724" s="207" t="s">
        <v>1540</v>
      </c>
      <c r="AD724"/>
      <c r="AE724" s="206"/>
      <c r="AF724" s="94"/>
      <c r="AG724" s="94"/>
      <c r="AH724" s="94"/>
      <c r="AI724" s="94"/>
      <c r="AJ724" s="94"/>
      <c r="AK724" s="94"/>
      <c r="AL724" s="94"/>
      <c r="AM724" s="254"/>
      <c r="AN724" s="254"/>
      <c r="AO724" s="94"/>
      <c r="AP724" s="94"/>
      <c r="AQ724" s="94"/>
      <c r="AR724" s="94"/>
      <c r="AS724" s="207"/>
    </row>
    <row r="725" spans="13:45" ht="12.75">
      <c r="M725" s="104"/>
      <c r="O725" s="206" t="s">
        <v>2367</v>
      </c>
      <c r="P725" s="94" t="s">
        <v>2144</v>
      </c>
      <c r="Q725" s="180">
        <v>93217</v>
      </c>
      <c r="R725" s="258" t="s">
        <v>1540</v>
      </c>
      <c r="S725" s="259" t="s">
        <v>1540</v>
      </c>
      <c r="T725" s="213" t="s">
        <v>5010</v>
      </c>
      <c r="U725" s="213">
        <v>4</v>
      </c>
      <c r="V725" s="213" t="s">
        <v>3443</v>
      </c>
      <c r="W725" s="213" t="s">
        <v>3362</v>
      </c>
      <c r="X725" s="213" t="s">
        <v>1540</v>
      </c>
      <c r="Y725" s="213" t="s">
        <v>1540</v>
      </c>
      <c r="Z725" s="213" t="s">
        <v>1540</v>
      </c>
      <c r="AA725" s="213" t="s">
        <v>1540</v>
      </c>
      <c r="AB725" s="213" t="s">
        <v>1540</v>
      </c>
      <c r="AC725" s="207" t="s">
        <v>1540</v>
      </c>
      <c r="AD725"/>
      <c r="AE725" s="206"/>
      <c r="AF725" s="94"/>
      <c r="AG725" s="94"/>
      <c r="AH725" s="94"/>
      <c r="AI725" s="94"/>
      <c r="AJ725" s="94"/>
      <c r="AK725" s="94"/>
      <c r="AL725" s="94"/>
      <c r="AM725" s="254"/>
      <c r="AN725" s="254"/>
      <c r="AO725" s="94"/>
      <c r="AP725" s="94"/>
      <c r="AQ725" s="94"/>
      <c r="AR725" s="94"/>
      <c r="AS725" s="207"/>
    </row>
    <row r="726" spans="13:45" ht="12.75">
      <c r="M726" s="104"/>
      <c r="O726" s="206" t="s">
        <v>2368</v>
      </c>
      <c r="P726" s="94" t="s">
        <v>2145</v>
      </c>
      <c r="Q726" s="180">
        <v>93572</v>
      </c>
      <c r="R726" s="258" t="s">
        <v>1540</v>
      </c>
      <c r="S726" s="259" t="s">
        <v>1540</v>
      </c>
      <c r="T726" s="213" t="s">
        <v>5012</v>
      </c>
      <c r="U726" s="213">
        <v>3</v>
      </c>
      <c r="V726" s="213" t="s">
        <v>3443</v>
      </c>
      <c r="W726" s="213" t="s">
        <v>3363</v>
      </c>
      <c r="X726" s="213" t="s">
        <v>1540</v>
      </c>
      <c r="Y726" s="213" t="s">
        <v>1540</v>
      </c>
      <c r="Z726" s="213" t="s">
        <v>1540</v>
      </c>
      <c r="AA726" s="213" t="s">
        <v>1540</v>
      </c>
      <c r="AB726" s="213" t="s">
        <v>1540</v>
      </c>
      <c r="AC726" s="207" t="s">
        <v>1540</v>
      </c>
      <c r="AD726"/>
      <c r="AE726" s="206"/>
      <c r="AF726" s="94"/>
      <c r="AG726" s="94"/>
      <c r="AH726" s="94"/>
      <c r="AI726" s="94"/>
      <c r="AJ726" s="94"/>
      <c r="AK726" s="94"/>
      <c r="AL726" s="94"/>
      <c r="AM726" s="254"/>
      <c r="AN726" s="254"/>
      <c r="AO726" s="94"/>
      <c r="AP726" s="94"/>
      <c r="AQ726" s="94"/>
      <c r="AR726" s="94"/>
      <c r="AS726" s="207"/>
    </row>
    <row r="727" spans="13:45" ht="12.75">
      <c r="M727" s="104"/>
      <c r="O727" s="206" t="s">
        <v>2369</v>
      </c>
      <c r="P727" s="94" t="s">
        <v>2146</v>
      </c>
      <c r="Q727" s="180">
        <v>59482</v>
      </c>
      <c r="R727" s="258" t="s">
        <v>1540</v>
      </c>
      <c r="S727" s="259" t="s">
        <v>1540</v>
      </c>
      <c r="T727" s="213" t="s">
        <v>5012</v>
      </c>
      <c r="U727" s="213">
        <v>3</v>
      </c>
      <c r="V727" s="213" t="s">
        <v>3443</v>
      </c>
      <c r="W727" s="213" t="s">
        <v>3364</v>
      </c>
      <c r="X727" s="213" t="s">
        <v>1540</v>
      </c>
      <c r="Y727" s="213" t="s">
        <v>1540</v>
      </c>
      <c r="Z727" s="213" t="s">
        <v>1540</v>
      </c>
      <c r="AA727" s="213" t="s">
        <v>1540</v>
      </c>
      <c r="AB727" s="213" t="s">
        <v>1540</v>
      </c>
      <c r="AC727" s="207" t="s">
        <v>1540</v>
      </c>
      <c r="AD727"/>
      <c r="AE727" s="206"/>
      <c r="AF727" s="94"/>
      <c r="AG727" s="94"/>
      <c r="AH727" s="94"/>
      <c r="AI727" s="94"/>
      <c r="AJ727" s="94"/>
      <c r="AK727" s="94"/>
      <c r="AL727" s="94"/>
      <c r="AM727" s="254"/>
      <c r="AN727" s="254"/>
      <c r="AO727" s="94"/>
      <c r="AP727" s="94"/>
      <c r="AQ727" s="94"/>
      <c r="AR727" s="94"/>
      <c r="AS727" s="207"/>
    </row>
    <row r="728" spans="13:45" ht="12.75">
      <c r="M728" s="104"/>
      <c r="O728" s="206" t="s">
        <v>2370</v>
      </c>
      <c r="P728" s="94" t="s">
        <v>2147</v>
      </c>
      <c r="Q728" s="180">
        <v>59482</v>
      </c>
      <c r="R728" s="258" t="s">
        <v>1540</v>
      </c>
      <c r="S728" s="259" t="s">
        <v>1540</v>
      </c>
      <c r="T728" s="213" t="s">
        <v>5012</v>
      </c>
      <c r="U728" s="213">
        <v>3</v>
      </c>
      <c r="V728" s="213" t="s">
        <v>3443</v>
      </c>
      <c r="W728" s="213" t="s">
        <v>3361</v>
      </c>
      <c r="X728" s="213" t="s">
        <v>1540</v>
      </c>
      <c r="Y728" s="213" t="s">
        <v>1540</v>
      </c>
      <c r="Z728" s="213" t="s">
        <v>1540</v>
      </c>
      <c r="AA728" s="213" t="s">
        <v>1540</v>
      </c>
      <c r="AB728" s="213" t="s">
        <v>1540</v>
      </c>
      <c r="AC728" s="207" t="s">
        <v>1540</v>
      </c>
      <c r="AD728"/>
      <c r="AE728" s="206"/>
      <c r="AF728" s="94"/>
      <c r="AG728" s="94"/>
      <c r="AH728" s="94"/>
      <c r="AI728" s="94"/>
      <c r="AJ728" s="94"/>
      <c r="AK728" s="94"/>
      <c r="AL728" s="94"/>
      <c r="AM728" s="254"/>
      <c r="AN728" s="254"/>
      <c r="AO728" s="94"/>
      <c r="AP728" s="94"/>
      <c r="AQ728" s="94"/>
      <c r="AR728" s="94"/>
      <c r="AS728" s="207"/>
    </row>
    <row r="729" spans="13:45" ht="12.75">
      <c r="M729" s="104"/>
      <c r="O729" s="206" t="s">
        <v>2371</v>
      </c>
      <c r="P729" s="94" t="s">
        <v>2148</v>
      </c>
      <c r="Q729" s="180">
        <v>90142</v>
      </c>
      <c r="R729" s="258" t="s">
        <v>1540</v>
      </c>
      <c r="S729" s="259" t="s">
        <v>1540</v>
      </c>
      <c r="T729" s="213" t="s">
        <v>5012</v>
      </c>
      <c r="U729" s="213">
        <v>3</v>
      </c>
      <c r="V729" s="213" t="s">
        <v>3443</v>
      </c>
      <c r="W729" s="213" t="s">
        <v>3362</v>
      </c>
      <c r="X729" s="213" t="s">
        <v>1540</v>
      </c>
      <c r="Y729" s="213" t="s">
        <v>1540</v>
      </c>
      <c r="Z729" s="213" t="s">
        <v>1540</v>
      </c>
      <c r="AA729" s="213" t="s">
        <v>1540</v>
      </c>
      <c r="AB729" s="213" t="s">
        <v>1540</v>
      </c>
      <c r="AC729" s="207" t="s">
        <v>1540</v>
      </c>
      <c r="AD729"/>
      <c r="AE729" s="206"/>
      <c r="AF729" s="94"/>
      <c r="AG729" s="94"/>
      <c r="AH729" s="94"/>
      <c r="AI729" s="94"/>
      <c r="AJ729" s="94"/>
      <c r="AK729" s="94"/>
      <c r="AL729" s="94"/>
      <c r="AM729" s="254"/>
      <c r="AN729" s="254"/>
      <c r="AO729" s="94"/>
      <c r="AP729" s="94"/>
      <c r="AQ729" s="94"/>
      <c r="AR729" s="94"/>
      <c r="AS729" s="207"/>
    </row>
    <row r="730" spans="13:45" ht="12.75">
      <c r="M730" s="104"/>
      <c r="O730" s="206" t="s">
        <v>2372</v>
      </c>
      <c r="P730" s="94" t="s">
        <v>2149</v>
      </c>
      <c r="Q730" s="180">
        <v>113336</v>
      </c>
      <c r="R730" s="258" t="s">
        <v>1540</v>
      </c>
      <c r="S730" s="259" t="s">
        <v>1540</v>
      </c>
      <c r="T730" s="213" t="s">
        <v>5012</v>
      </c>
      <c r="U730" s="213">
        <v>4</v>
      </c>
      <c r="V730" s="213" t="s">
        <v>3443</v>
      </c>
      <c r="W730" s="213" t="s">
        <v>3363</v>
      </c>
      <c r="X730" s="213" t="s">
        <v>1540</v>
      </c>
      <c r="Y730" s="213" t="s">
        <v>1540</v>
      </c>
      <c r="Z730" s="213" t="s">
        <v>1540</v>
      </c>
      <c r="AA730" s="213" t="s">
        <v>1540</v>
      </c>
      <c r="AB730" s="213" t="s">
        <v>1540</v>
      </c>
      <c r="AC730" s="207" t="s">
        <v>1540</v>
      </c>
      <c r="AD730"/>
      <c r="AE730" s="206"/>
      <c r="AF730" s="94"/>
      <c r="AG730" s="94"/>
      <c r="AH730" s="94"/>
      <c r="AI730" s="94"/>
      <c r="AJ730" s="94"/>
      <c r="AK730" s="94"/>
      <c r="AL730" s="94"/>
      <c r="AM730" s="254"/>
      <c r="AN730" s="254"/>
      <c r="AO730" s="94"/>
      <c r="AP730" s="94"/>
      <c r="AQ730" s="94"/>
      <c r="AR730" s="94"/>
      <c r="AS730" s="207"/>
    </row>
    <row r="731" spans="13:45" ht="12.75">
      <c r="M731" s="104"/>
      <c r="O731" s="206" t="s">
        <v>2373</v>
      </c>
      <c r="P731" s="94" t="s">
        <v>2150</v>
      </c>
      <c r="Q731" s="180">
        <v>69734</v>
      </c>
      <c r="R731" s="258" t="s">
        <v>1540</v>
      </c>
      <c r="S731" s="259" t="s">
        <v>1540</v>
      </c>
      <c r="T731" s="213" t="s">
        <v>5012</v>
      </c>
      <c r="U731" s="213">
        <v>4</v>
      </c>
      <c r="V731" s="213" t="s">
        <v>3443</v>
      </c>
      <c r="W731" s="213" t="s">
        <v>3364</v>
      </c>
      <c r="X731" s="213" t="s">
        <v>1540</v>
      </c>
      <c r="Y731" s="213" t="s">
        <v>1540</v>
      </c>
      <c r="Z731" s="213" t="s">
        <v>1540</v>
      </c>
      <c r="AA731" s="213" t="s">
        <v>1540</v>
      </c>
      <c r="AB731" s="213" t="s">
        <v>1540</v>
      </c>
      <c r="AC731" s="207" t="s">
        <v>1540</v>
      </c>
      <c r="AD731"/>
      <c r="AE731" s="206"/>
      <c r="AF731" s="94"/>
      <c r="AG731" s="94"/>
      <c r="AH731" s="94"/>
      <c r="AI731" s="94"/>
      <c r="AJ731" s="94"/>
      <c r="AK731" s="94"/>
      <c r="AL731" s="94"/>
      <c r="AM731" s="254"/>
      <c r="AN731" s="254"/>
      <c r="AO731" s="94"/>
      <c r="AP731" s="94"/>
      <c r="AQ731" s="94"/>
      <c r="AR731" s="94"/>
      <c r="AS731" s="207"/>
    </row>
    <row r="732" spans="13:45" ht="12.75">
      <c r="M732" s="104"/>
      <c r="O732" s="206" t="s">
        <v>2374</v>
      </c>
      <c r="P732" s="94" t="s">
        <v>2151</v>
      </c>
      <c r="Q732" s="180">
        <v>69734</v>
      </c>
      <c r="R732" s="258" t="s">
        <v>1540</v>
      </c>
      <c r="S732" s="259" t="s">
        <v>1540</v>
      </c>
      <c r="T732" s="213" t="s">
        <v>5012</v>
      </c>
      <c r="U732" s="213">
        <v>4</v>
      </c>
      <c r="V732" s="213" t="s">
        <v>3443</v>
      </c>
      <c r="W732" s="213" t="s">
        <v>3361</v>
      </c>
      <c r="X732" s="213" t="s">
        <v>1540</v>
      </c>
      <c r="Y732" s="213" t="s">
        <v>1540</v>
      </c>
      <c r="Z732" s="213" t="s">
        <v>1540</v>
      </c>
      <c r="AA732" s="213" t="s">
        <v>1540</v>
      </c>
      <c r="AB732" s="213" t="s">
        <v>1540</v>
      </c>
      <c r="AC732" s="207" t="s">
        <v>1540</v>
      </c>
      <c r="AD732"/>
      <c r="AE732" s="206"/>
      <c r="AF732" s="94"/>
      <c r="AG732" s="94"/>
      <c r="AH732" s="94"/>
      <c r="AI732" s="94"/>
      <c r="AJ732" s="94"/>
      <c r="AK732" s="94"/>
      <c r="AL732" s="94"/>
      <c r="AM732" s="254"/>
      <c r="AN732" s="254"/>
      <c r="AO732" s="94"/>
      <c r="AP732" s="94"/>
      <c r="AQ732" s="94"/>
      <c r="AR732" s="94"/>
      <c r="AS732" s="207"/>
    </row>
    <row r="733" spans="13:45" ht="12.75">
      <c r="M733" s="104"/>
      <c r="O733" s="206" t="s">
        <v>2375</v>
      </c>
      <c r="P733" s="94" t="s">
        <v>2152</v>
      </c>
      <c r="Q733" s="180">
        <v>108763</v>
      </c>
      <c r="R733" s="258" t="s">
        <v>1540</v>
      </c>
      <c r="S733" s="259" t="s">
        <v>1540</v>
      </c>
      <c r="T733" s="213" t="s">
        <v>5012</v>
      </c>
      <c r="U733" s="213">
        <v>4</v>
      </c>
      <c r="V733" s="213" t="s">
        <v>3443</v>
      </c>
      <c r="W733" s="213" t="s">
        <v>3362</v>
      </c>
      <c r="X733" s="213" t="s">
        <v>1540</v>
      </c>
      <c r="Y733" s="213" t="s">
        <v>1540</v>
      </c>
      <c r="Z733" s="213" t="s">
        <v>1540</v>
      </c>
      <c r="AA733" s="213" t="s">
        <v>1540</v>
      </c>
      <c r="AB733" s="213" t="s">
        <v>1540</v>
      </c>
      <c r="AC733" s="207" t="s">
        <v>1540</v>
      </c>
      <c r="AD733"/>
      <c r="AE733" s="206"/>
      <c r="AF733" s="94"/>
      <c r="AG733" s="94"/>
      <c r="AH733" s="94"/>
      <c r="AI733" s="94"/>
      <c r="AJ733" s="94"/>
      <c r="AK733" s="94"/>
      <c r="AL733" s="94"/>
      <c r="AM733" s="254"/>
      <c r="AN733" s="254"/>
      <c r="AO733" s="94"/>
      <c r="AP733" s="94"/>
      <c r="AQ733" s="94"/>
      <c r="AR733" s="94"/>
      <c r="AS733" s="207"/>
    </row>
    <row r="734" spans="13:45" ht="12.75">
      <c r="M734" s="104"/>
      <c r="O734" s="206" t="s">
        <v>3237</v>
      </c>
      <c r="P734" s="94" t="s">
        <v>4131</v>
      </c>
      <c r="Q734" s="180">
        <v>42145</v>
      </c>
      <c r="R734" s="258">
        <v>800</v>
      </c>
      <c r="S734" s="259">
        <v>36</v>
      </c>
      <c r="T734" s="213" t="s">
        <v>4994</v>
      </c>
      <c r="U734" s="213">
        <v>3</v>
      </c>
      <c r="V734" s="213" t="s">
        <v>3439</v>
      </c>
      <c r="W734" s="213" t="s">
        <v>3361</v>
      </c>
      <c r="X734" s="213" t="s">
        <v>3490</v>
      </c>
      <c r="Y734" s="213" t="s">
        <v>1540</v>
      </c>
      <c r="Z734" s="213" t="s">
        <v>3491</v>
      </c>
      <c r="AA734" s="213">
        <v>36</v>
      </c>
      <c r="AB734" s="213">
        <v>75.6</v>
      </c>
      <c r="AC734" s="207" t="s">
        <v>1540</v>
      </c>
      <c r="AD734"/>
      <c r="AE734" s="206"/>
      <c r="AF734" s="94"/>
      <c r="AG734" s="94"/>
      <c r="AH734" s="94"/>
      <c r="AI734" s="94"/>
      <c r="AJ734" s="94"/>
      <c r="AK734" s="94"/>
      <c r="AL734" s="94"/>
      <c r="AM734" s="254"/>
      <c r="AN734" s="254"/>
      <c r="AO734" s="94"/>
      <c r="AP734" s="94"/>
      <c r="AQ734" s="94"/>
      <c r="AR734" s="94"/>
      <c r="AS734" s="207"/>
    </row>
    <row r="735" spans="13:45" ht="12.75">
      <c r="M735" s="104"/>
      <c r="O735" s="206" t="s">
        <v>3238</v>
      </c>
      <c r="P735" s="94" t="s">
        <v>4132</v>
      </c>
      <c r="Q735" s="180">
        <v>55623</v>
      </c>
      <c r="R735" s="258">
        <v>1250</v>
      </c>
      <c r="S735" s="259">
        <v>36</v>
      </c>
      <c r="T735" s="213" t="s">
        <v>4994</v>
      </c>
      <c r="U735" s="213">
        <v>3</v>
      </c>
      <c r="V735" s="213" t="s">
        <v>3439</v>
      </c>
      <c r="W735" s="213" t="s">
        <v>3361</v>
      </c>
      <c r="X735" s="213" t="s">
        <v>3490</v>
      </c>
      <c r="Y735" s="213" t="s">
        <v>1540</v>
      </c>
      <c r="Z735" s="213" t="s">
        <v>3491</v>
      </c>
      <c r="AA735" s="213">
        <v>36</v>
      </c>
      <c r="AB735" s="213">
        <v>75.6</v>
      </c>
      <c r="AC735" s="207" t="s">
        <v>1540</v>
      </c>
      <c r="AD735"/>
      <c r="AE735" s="206"/>
      <c r="AF735" s="94"/>
      <c r="AG735" s="94"/>
      <c r="AH735" s="94"/>
      <c r="AI735" s="94"/>
      <c r="AJ735" s="94"/>
      <c r="AK735" s="94"/>
      <c r="AL735" s="94"/>
      <c r="AM735" s="254"/>
      <c r="AN735" s="254"/>
      <c r="AO735" s="94"/>
      <c r="AP735" s="94"/>
      <c r="AQ735" s="94"/>
      <c r="AR735" s="94"/>
      <c r="AS735" s="207"/>
    </row>
    <row r="736" spans="13:45" ht="12.75">
      <c r="M736" s="104"/>
      <c r="O736" s="206" t="s">
        <v>3312</v>
      </c>
      <c r="P736" s="94" t="s">
        <v>3175</v>
      </c>
      <c r="Q736" s="180">
        <v>48261</v>
      </c>
      <c r="R736" s="258">
        <v>800</v>
      </c>
      <c r="S736" s="259">
        <v>36</v>
      </c>
      <c r="T736" s="213" t="s">
        <v>4994</v>
      </c>
      <c r="U736" s="213">
        <v>3</v>
      </c>
      <c r="V736" s="213" t="s">
        <v>3443</v>
      </c>
      <c r="W736" s="213" t="s">
        <v>3572</v>
      </c>
      <c r="X736" s="213" t="s">
        <v>3490</v>
      </c>
      <c r="Y736" s="213" t="s">
        <v>1540</v>
      </c>
      <c r="Z736" s="213" t="s">
        <v>3491</v>
      </c>
      <c r="AA736" s="213">
        <v>36</v>
      </c>
      <c r="AB736" s="213">
        <v>75.6</v>
      </c>
      <c r="AC736" s="207" t="s">
        <v>1540</v>
      </c>
      <c r="AD736"/>
      <c r="AE736" s="206"/>
      <c r="AF736" s="94"/>
      <c r="AG736" s="94"/>
      <c r="AH736" s="94"/>
      <c r="AI736" s="94"/>
      <c r="AJ736" s="94"/>
      <c r="AK736" s="94"/>
      <c r="AL736" s="94"/>
      <c r="AM736" s="254"/>
      <c r="AN736" s="254"/>
      <c r="AO736" s="94"/>
      <c r="AP736" s="94"/>
      <c r="AQ736" s="94"/>
      <c r="AR736" s="94"/>
      <c r="AS736" s="207"/>
    </row>
    <row r="737" spans="13:45" ht="12.75">
      <c r="M737" s="104"/>
      <c r="O737" s="206" t="s">
        <v>3313</v>
      </c>
      <c r="P737" s="94" t="s">
        <v>3429</v>
      </c>
      <c r="Q737" s="180">
        <v>56209</v>
      </c>
      <c r="R737" s="258">
        <v>1250</v>
      </c>
      <c r="S737" s="259">
        <v>36</v>
      </c>
      <c r="T737" s="213" t="s">
        <v>4994</v>
      </c>
      <c r="U737" s="213">
        <v>3</v>
      </c>
      <c r="V737" s="213" t="s">
        <v>3443</v>
      </c>
      <c r="W737" s="213" t="s">
        <v>3572</v>
      </c>
      <c r="X737" s="213" t="s">
        <v>3490</v>
      </c>
      <c r="Y737" s="213" t="s">
        <v>1540</v>
      </c>
      <c r="Z737" s="213" t="s">
        <v>3491</v>
      </c>
      <c r="AA737" s="213">
        <v>36</v>
      </c>
      <c r="AB737" s="213">
        <v>75.6</v>
      </c>
      <c r="AC737" s="207" t="s">
        <v>1540</v>
      </c>
      <c r="AD737"/>
      <c r="AE737" s="206"/>
      <c r="AF737" s="94"/>
      <c r="AG737" s="94"/>
      <c r="AH737" s="94"/>
      <c r="AI737" s="94"/>
      <c r="AJ737" s="94"/>
      <c r="AK737" s="94"/>
      <c r="AL737" s="94"/>
      <c r="AM737" s="254"/>
      <c r="AN737" s="254"/>
      <c r="AO737" s="94"/>
      <c r="AP737" s="94"/>
      <c r="AQ737" s="94"/>
      <c r="AR737" s="94"/>
      <c r="AS737" s="207"/>
    </row>
    <row r="738" spans="13:45" ht="12.75">
      <c r="M738" s="104"/>
      <c r="O738" s="206" t="s">
        <v>3240</v>
      </c>
      <c r="P738" s="94" t="s">
        <v>4134</v>
      </c>
      <c r="Q738" s="180">
        <v>67288</v>
      </c>
      <c r="R738" s="258">
        <v>1250</v>
      </c>
      <c r="S738" s="259">
        <v>55</v>
      </c>
      <c r="T738" s="213" t="s">
        <v>4997</v>
      </c>
      <c r="U738" s="213">
        <v>3</v>
      </c>
      <c r="V738" s="213" t="s">
        <v>3439</v>
      </c>
      <c r="W738" s="213" t="s">
        <v>3361</v>
      </c>
      <c r="X738" s="213" t="s">
        <v>3490</v>
      </c>
      <c r="Y738" s="213" t="s">
        <v>1540</v>
      </c>
      <c r="Z738" s="213" t="s">
        <v>3492</v>
      </c>
      <c r="AA738" s="213">
        <v>55</v>
      </c>
      <c r="AB738" s="213">
        <v>121</v>
      </c>
      <c r="AC738" s="207" t="s">
        <v>1540</v>
      </c>
      <c r="AD738"/>
      <c r="AE738" s="206"/>
      <c r="AF738" s="94"/>
      <c r="AG738" s="94"/>
      <c r="AH738" s="94"/>
      <c r="AI738" s="94"/>
      <c r="AJ738" s="94"/>
      <c r="AK738" s="94"/>
      <c r="AL738" s="94"/>
      <c r="AM738" s="254"/>
      <c r="AN738" s="254"/>
      <c r="AO738" s="94"/>
      <c r="AP738" s="94"/>
      <c r="AQ738" s="94"/>
      <c r="AR738" s="94"/>
      <c r="AS738" s="207"/>
    </row>
    <row r="739" spans="13:45" ht="12.75">
      <c r="M739" s="104"/>
      <c r="O739" s="206" t="s">
        <v>832</v>
      </c>
      <c r="P739" s="94" t="s">
        <v>3395</v>
      </c>
      <c r="Q739" s="180">
        <v>71808</v>
      </c>
      <c r="R739" s="258">
        <v>1600</v>
      </c>
      <c r="S739" s="259">
        <v>42</v>
      </c>
      <c r="T739" s="213" t="s">
        <v>4997</v>
      </c>
      <c r="U739" s="213">
        <v>3</v>
      </c>
      <c r="V739" s="213" t="s">
        <v>3439</v>
      </c>
      <c r="W739" s="213" t="s">
        <v>3361</v>
      </c>
      <c r="X739" s="213" t="s">
        <v>3490</v>
      </c>
      <c r="Y739" s="213" t="s">
        <v>1540</v>
      </c>
      <c r="Z739" s="213" t="s">
        <v>3493</v>
      </c>
      <c r="AA739" s="213">
        <v>42</v>
      </c>
      <c r="AB739" s="213">
        <v>88.2</v>
      </c>
      <c r="AC739" s="207" t="s">
        <v>1540</v>
      </c>
      <c r="AD739"/>
      <c r="AE739" s="206"/>
      <c r="AF739" s="94"/>
      <c r="AG739" s="94"/>
      <c r="AH739" s="94"/>
      <c r="AI739" s="94"/>
      <c r="AJ739" s="94"/>
      <c r="AK739" s="94"/>
      <c r="AL739" s="94"/>
      <c r="AM739" s="254"/>
      <c r="AN739" s="254"/>
      <c r="AO739" s="94"/>
      <c r="AP739" s="94"/>
      <c r="AQ739" s="94"/>
      <c r="AR739" s="94"/>
      <c r="AS739" s="207"/>
    </row>
    <row r="740" spans="13:45" ht="12.75">
      <c r="M740" s="104"/>
      <c r="O740" s="206" t="s">
        <v>3241</v>
      </c>
      <c r="P740" s="94" t="s">
        <v>4135</v>
      </c>
      <c r="Q740" s="180">
        <v>86910</v>
      </c>
      <c r="R740" s="258">
        <v>1600</v>
      </c>
      <c r="S740" s="259">
        <v>55</v>
      </c>
      <c r="T740" s="213" t="s">
        <v>4997</v>
      </c>
      <c r="U740" s="213">
        <v>3</v>
      </c>
      <c r="V740" s="213" t="s">
        <v>3439</v>
      </c>
      <c r="W740" s="213" t="s">
        <v>3361</v>
      </c>
      <c r="X740" s="213" t="s">
        <v>3490</v>
      </c>
      <c r="Y740" s="213" t="s">
        <v>1540</v>
      </c>
      <c r="Z740" s="213" t="s">
        <v>3492</v>
      </c>
      <c r="AA740" s="213">
        <v>55</v>
      </c>
      <c r="AB740" s="213">
        <v>121</v>
      </c>
      <c r="AC740" s="207" t="s">
        <v>1540</v>
      </c>
      <c r="AD740"/>
      <c r="AE740" s="206"/>
      <c r="AF740" s="94"/>
      <c r="AG740" s="94"/>
      <c r="AH740" s="94"/>
      <c r="AI740" s="94"/>
      <c r="AJ740" s="94"/>
      <c r="AK740" s="94"/>
      <c r="AL740" s="94"/>
      <c r="AM740" s="254"/>
      <c r="AN740" s="254"/>
      <c r="AO740" s="94"/>
      <c r="AP740" s="94"/>
      <c r="AQ740" s="94"/>
      <c r="AR740" s="94"/>
      <c r="AS740" s="207"/>
    </row>
    <row r="741" spans="13:45" ht="12.75">
      <c r="M741" s="104"/>
      <c r="O741" s="206" t="s">
        <v>3239</v>
      </c>
      <c r="P741" s="94" t="s">
        <v>4133</v>
      </c>
      <c r="Q741" s="180">
        <v>91793</v>
      </c>
      <c r="R741" s="258">
        <v>2000</v>
      </c>
      <c r="S741" s="259">
        <v>42</v>
      </c>
      <c r="T741" s="213" t="s">
        <v>4997</v>
      </c>
      <c r="U741" s="213">
        <v>3</v>
      </c>
      <c r="V741" s="213" t="s">
        <v>3439</v>
      </c>
      <c r="W741" s="213" t="s">
        <v>3361</v>
      </c>
      <c r="X741" s="213" t="s">
        <v>3490</v>
      </c>
      <c r="Y741" s="213" t="s">
        <v>1540</v>
      </c>
      <c r="Z741" s="213" t="s">
        <v>3493</v>
      </c>
      <c r="AA741" s="213">
        <v>42</v>
      </c>
      <c r="AB741" s="213">
        <v>88.2</v>
      </c>
      <c r="AC741" s="207" t="s">
        <v>1540</v>
      </c>
      <c r="AD741"/>
      <c r="AE741" s="206"/>
      <c r="AF741" s="94"/>
      <c r="AG741" s="94"/>
      <c r="AH741" s="94"/>
      <c r="AI741" s="94"/>
      <c r="AJ741" s="94"/>
      <c r="AK741" s="94"/>
      <c r="AL741" s="94"/>
      <c r="AM741" s="254"/>
      <c r="AN741" s="254"/>
      <c r="AO741" s="94"/>
      <c r="AP741" s="94"/>
      <c r="AQ741" s="94"/>
      <c r="AR741" s="94"/>
      <c r="AS741" s="207"/>
    </row>
    <row r="742" spans="13:45" ht="12.75">
      <c r="M742" s="104"/>
      <c r="O742" s="206" t="s">
        <v>3242</v>
      </c>
      <c r="P742" s="94" t="s">
        <v>4136</v>
      </c>
      <c r="Q742" s="180">
        <v>91084</v>
      </c>
      <c r="R742" s="258">
        <v>2000</v>
      </c>
      <c r="S742" s="259">
        <v>55</v>
      </c>
      <c r="T742" s="213" t="s">
        <v>4997</v>
      </c>
      <c r="U742" s="213">
        <v>3</v>
      </c>
      <c r="V742" s="213" t="s">
        <v>3439</v>
      </c>
      <c r="W742" s="213" t="s">
        <v>3361</v>
      </c>
      <c r="X742" s="213" t="s">
        <v>3490</v>
      </c>
      <c r="Y742" s="213" t="s">
        <v>1540</v>
      </c>
      <c r="Z742" s="213" t="s">
        <v>3492</v>
      </c>
      <c r="AA742" s="213">
        <v>55</v>
      </c>
      <c r="AB742" s="213">
        <v>121</v>
      </c>
      <c r="AC742" s="207" t="s">
        <v>1540</v>
      </c>
      <c r="AD742"/>
      <c r="AE742" s="206"/>
      <c r="AF742" s="94"/>
      <c r="AG742" s="94"/>
      <c r="AH742" s="94"/>
      <c r="AI742" s="94"/>
      <c r="AJ742" s="94"/>
      <c r="AK742" s="94"/>
      <c r="AL742" s="94"/>
      <c r="AM742" s="254"/>
      <c r="AN742" s="254"/>
      <c r="AO742" s="94"/>
      <c r="AP742" s="94"/>
      <c r="AQ742" s="94"/>
      <c r="AR742" s="94"/>
      <c r="AS742" s="207"/>
    </row>
    <row r="743" spans="13:45" ht="12.75">
      <c r="M743" s="104"/>
      <c r="O743" s="206" t="s">
        <v>3321</v>
      </c>
      <c r="P743" s="94" t="s">
        <v>2983</v>
      </c>
      <c r="Q743" s="180">
        <v>70664</v>
      </c>
      <c r="R743" s="258">
        <v>1250</v>
      </c>
      <c r="S743" s="259">
        <v>55</v>
      </c>
      <c r="T743" s="213" t="s">
        <v>4997</v>
      </c>
      <c r="U743" s="213">
        <v>3</v>
      </c>
      <c r="V743" s="213" t="s">
        <v>3443</v>
      </c>
      <c r="W743" s="213" t="s">
        <v>3572</v>
      </c>
      <c r="X743" s="213" t="s">
        <v>3490</v>
      </c>
      <c r="Y743" s="213" t="s">
        <v>1540</v>
      </c>
      <c r="Z743" s="213" t="s">
        <v>3492</v>
      </c>
      <c r="AA743" s="213">
        <v>55</v>
      </c>
      <c r="AB743" s="213">
        <v>121</v>
      </c>
      <c r="AC743" s="207" t="s">
        <v>1540</v>
      </c>
      <c r="AD743"/>
      <c r="AE743" s="206"/>
      <c r="AF743" s="94"/>
      <c r="AG743" s="94"/>
      <c r="AH743" s="94"/>
      <c r="AI743" s="94"/>
      <c r="AJ743" s="94"/>
      <c r="AK743" s="94"/>
      <c r="AL743" s="94"/>
      <c r="AM743" s="254"/>
      <c r="AN743" s="254"/>
      <c r="AO743" s="94"/>
      <c r="AP743" s="94"/>
      <c r="AQ743" s="94"/>
      <c r="AR743" s="94"/>
      <c r="AS743" s="207"/>
    </row>
    <row r="744" spans="13:45" ht="12.75">
      <c r="M744" s="104"/>
      <c r="O744" s="206" t="s">
        <v>3319</v>
      </c>
      <c r="P744" s="94" t="s">
        <v>3435</v>
      </c>
      <c r="Q744" s="180">
        <v>83406</v>
      </c>
      <c r="R744" s="258">
        <v>1600</v>
      </c>
      <c r="S744" s="259">
        <v>42</v>
      </c>
      <c r="T744" s="213" t="s">
        <v>4997</v>
      </c>
      <c r="U744" s="213">
        <v>3</v>
      </c>
      <c r="V744" s="213" t="s">
        <v>3443</v>
      </c>
      <c r="W744" s="213" t="s">
        <v>3572</v>
      </c>
      <c r="X744" s="213" t="s">
        <v>3490</v>
      </c>
      <c r="Y744" s="213" t="s">
        <v>1540</v>
      </c>
      <c r="Z744" s="213" t="s">
        <v>3493</v>
      </c>
      <c r="AA744" s="213">
        <v>42</v>
      </c>
      <c r="AB744" s="213">
        <v>88.2</v>
      </c>
      <c r="AC744" s="207" t="s">
        <v>1540</v>
      </c>
      <c r="AD744"/>
      <c r="AE744" s="206"/>
      <c r="AF744" s="94"/>
      <c r="AG744" s="94"/>
      <c r="AH744" s="94"/>
      <c r="AI744" s="94"/>
      <c r="AJ744" s="94"/>
      <c r="AK744" s="94"/>
      <c r="AL744" s="94"/>
      <c r="AM744" s="254"/>
      <c r="AN744" s="254"/>
      <c r="AO744" s="94"/>
      <c r="AP744" s="94"/>
      <c r="AQ744" s="94"/>
      <c r="AR744" s="94"/>
      <c r="AS744" s="207"/>
    </row>
    <row r="745" spans="13:45" ht="12.75">
      <c r="M745" s="104"/>
      <c r="O745" s="206" t="s">
        <v>3320</v>
      </c>
      <c r="P745" s="94" t="s">
        <v>2982</v>
      </c>
      <c r="Q745" s="180">
        <v>98786</v>
      </c>
      <c r="R745" s="258">
        <v>1600</v>
      </c>
      <c r="S745" s="259">
        <v>55</v>
      </c>
      <c r="T745" s="213" t="s">
        <v>4997</v>
      </c>
      <c r="U745" s="213">
        <v>3</v>
      </c>
      <c r="V745" s="213" t="s">
        <v>3443</v>
      </c>
      <c r="W745" s="213" t="s">
        <v>3572</v>
      </c>
      <c r="X745" s="213" t="s">
        <v>3490</v>
      </c>
      <c r="Y745" s="213" t="s">
        <v>1540</v>
      </c>
      <c r="Z745" s="213" t="s">
        <v>3492</v>
      </c>
      <c r="AA745" s="213">
        <v>55</v>
      </c>
      <c r="AB745" s="213">
        <v>121</v>
      </c>
      <c r="AC745" s="207" t="s">
        <v>1540</v>
      </c>
      <c r="AD745"/>
      <c r="AE745" s="206"/>
      <c r="AF745" s="94"/>
      <c r="AG745" s="94"/>
      <c r="AH745" s="94"/>
      <c r="AI745" s="94"/>
      <c r="AJ745" s="94"/>
      <c r="AK745" s="94"/>
      <c r="AL745" s="94"/>
      <c r="AM745" s="254"/>
      <c r="AN745" s="254"/>
      <c r="AO745" s="94"/>
      <c r="AP745" s="94"/>
      <c r="AQ745" s="94"/>
      <c r="AR745" s="94"/>
      <c r="AS745" s="207"/>
    </row>
    <row r="746" spans="13:45" ht="12.75">
      <c r="M746" s="104"/>
      <c r="O746" s="206" t="s">
        <v>3318</v>
      </c>
      <c r="P746" s="94" t="s">
        <v>3434</v>
      </c>
      <c r="Q746" s="180">
        <v>106279</v>
      </c>
      <c r="R746" s="258">
        <v>2000</v>
      </c>
      <c r="S746" s="259">
        <v>42</v>
      </c>
      <c r="T746" s="213" t="s">
        <v>4997</v>
      </c>
      <c r="U746" s="213">
        <v>3</v>
      </c>
      <c r="V746" s="213" t="s">
        <v>3443</v>
      </c>
      <c r="W746" s="213" t="s">
        <v>3572</v>
      </c>
      <c r="X746" s="213" t="s">
        <v>3490</v>
      </c>
      <c r="Y746" s="213" t="s">
        <v>1540</v>
      </c>
      <c r="Z746" s="213" t="s">
        <v>3493</v>
      </c>
      <c r="AA746" s="213">
        <v>42</v>
      </c>
      <c r="AB746" s="213">
        <v>88.2</v>
      </c>
      <c r="AC746" s="207" t="s">
        <v>1540</v>
      </c>
      <c r="AD746"/>
      <c r="AE746" s="206"/>
      <c r="AF746" s="94"/>
      <c r="AG746" s="94"/>
      <c r="AH746" s="94"/>
      <c r="AI746" s="94"/>
      <c r="AJ746" s="94"/>
      <c r="AK746" s="94"/>
      <c r="AL746" s="94"/>
      <c r="AM746" s="254"/>
      <c r="AN746" s="254"/>
      <c r="AO746" s="94"/>
      <c r="AP746" s="94"/>
      <c r="AQ746" s="94"/>
      <c r="AR746" s="94"/>
      <c r="AS746" s="207"/>
    </row>
    <row r="747" spans="13:45" ht="12.75">
      <c r="M747" s="104"/>
      <c r="O747" s="206" t="s">
        <v>3322</v>
      </c>
      <c r="P747" s="94" t="s">
        <v>2984</v>
      </c>
      <c r="Q747" s="180">
        <v>125299</v>
      </c>
      <c r="R747" s="258">
        <v>2000</v>
      </c>
      <c r="S747" s="259">
        <v>55</v>
      </c>
      <c r="T747" s="213" t="s">
        <v>4997</v>
      </c>
      <c r="U747" s="213">
        <v>3</v>
      </c>
      <c r="V747" s="213" t="s">
        <v>3443</v>
      </c>
      <c r="W747" s="213" t="s">
        <v>3572</v>
      </c>
      <c r="X747" s="213" t="s">
        <v>3490</v>
      </c>
      <c r="Y747" s="213" t="s">
        <v>1540</v>
      </c>
      <c r="Z747" s="213" t="s">
        <v>3492</v>
      </c>
      <c r="AA747" s="213">
        <v>55</v>
      </c>
      <c r="AB747" s="213">
        <v>121</v>
      </c>
      <c r="AC747" s="207" t="s">
        <v>1540</v>
      </c>
      <c r="AD747"/>
      <c r="AE747" s="206"/>
      <c r="AF747" s="94"/>
      <c r="AG747" s="94"/>
      <c r="AH747" s="94"/>
      <c r="AI747" s="94"/>
      <c r="AJ747" s="94"/>
      <c r="AK747" s="94"/>
      <c r="AL747" s="94"/>
      <c r="AM747" s="254"/>
      <c r="AN747" s="254"/>
      <c r="AO747" s="94"/>
      <c r="AP747" s="94"/>
      <c r="AQ747" s="94"/>
      <c r="AR747" s="94"/>
      <c r="AS747" s="207"/>
    </row>
    <row r="748" spans="13:45" ht="12.75">
      <c r="M748" s="104"/>
      <c r="O748" s="206" t="s">
        <v>3245</v>
      </c>
      <c r="P748" s="94" t="s">
        <v>4139</v>
      </c>
      <c r="Q748" s="180">
        <v>72766</v>
      </c>
      <c r="R748" s="258">
        <v>1250</v>
      </c>
      <c r="S748" s="259">
        <v>75</v>
      </c>
      <c r="T748" s="213" t="s">
        <v>5000</v>
      </c>
      <c r="U748" s="213">
        <v>3</v>
      </c>
      <c r="V748" s="213" t="s">
        <v>3439</v>
      </c>
      <c r="W748" s="213" t="s">
        <v>3361</v>
      </c>
      <c r="X748" s="213" t="s">
        <v>3490</v>
      </c>
      <c r="Y748" s="213" t="s">
        <v>1540</v>
      </c>
      <c r="Z748" s="213" t="s">
        <v>1105</v>
      </c>
      <c r="AA748" s="213">
        <v>75</v>
      </c>
      <c r="AB748" s="213">
        <v>165</v>
      </c>
      <c r="AC748" s="207" t="s">
        <v>1540</v>
      </c>
      <c r="AD748"/>
      <c r="AE748" s="206"/>
      <c r="AF748" s="94"/>
      <c r="AG748" s="94"/>
      <c r="AH748" s="94"/>
      <c r="AI748" s="94"/>
      <c r="AJ748" s="94"/>
      <c r="AK748" s="94"/>
      <c r="AL748" s="94"/>
      <c r="AM748" s="254"/>
      <c r="AN748" s="254"/>
      <c r="AO748" s="94"/>
      <c r="AP748" s="94"/>
      <c r="AQ748" s="94"/>
      <c r="AR748" s="94"/>
      <c r="AS748" s="207"/>
    </row>
    <row r="749" spans="13:45" ht="12.75">
      <c r="M749" s="104"/>
      <c r="O749" s="206" t="s">
        <v>3246</v>
      </c>
      <c r="P749" s="94" t="s">
        <v>4140</v>
      </c>
      <c r="Q749" s="180">
        <v>101346</v>
      </c>
      <c r="R749" s="258">
        <v>1600</v>
      </c>
      <c r="S749" s="259">
        <v>75</v>
      </c>
      <c r="T749" s="213" t="s">
        <v>5000</v>
      </c>
      <c r="U749" s="213">
        <v>3</v>
      </c>
      <c r="V749" s="213" t="s">
        <v>3439</v>
      </c>
      <c r="W749" s="213" t="s">
        <v>3361</v>
      </c>
      <c r="X749" s="213" t="s">
        <v>3490</v>
      </c>
      <c r="Y749" s="213" t="s">
        <v>1540</v>
      </c>
      <c r="Z749" s="213" t="s">
        <v>1105</v>
      </c>
      <c r="AA749" s="213">
        <v>75</v>
      </c>
      <c r="AB749" s="213">
        <v>165</v>
      </c>
      <c r="AC749" s="207" t="s">
        <v>1540</v>
      </c>
      <c r="AD749"/>
      <c r="AE749" s="206"/>
      <c r="AF749" s="94"/>
      <c r="AG749" s="94"/>
      <c r="AH749" s="94"/>
      <c r="AI749" s="94"/>
      <c r="AJ749" s="94"/>
      <c r="AK749" s="94"/>
      <c r="AL749" s="94"/>
      <c r="AM749" s="254"/>
      <c r="AN749" s="254"/>
      <c r="AO749" s="94"/>
      <c r="AP749" s="94"/>
      <c r="AQ749" s="94"/>
      <c r="AR749" s="94"/>
      <c r="AS749" s="207"/>
    </row>
    <row r="750" spans="13:45" ht="12.75">
      <c r="M750" s="104"/>
      <c r="O750" s="206" t="s">
        <v>3247</v>
      </c>
      <c r="P750" s="94" t="s">
        <v>4141</v>
      </c>
      <c r="Q750" s="180">
        <v>108180</v>
      </c>
      <c r="R750" s="258">
        <v>2000</v>
      </c>
      <c r="S750" s="259">
        <v>75</v>
      </c>
      <c r="T750" s="213" t="s">
        <v>5000</v>
      </c>
      <c r="U750" s="213">
        <v>3</v>
      </c>
      <c r="V750" s="213" t="s">
        <v>3439</v>
      </c>
      <c r="W750" s="213" t="s">
        <v>3361</v>
      </c>
      <c r="X750" s="213" t="s">
        <v>3490</v>
      </c>
      <c r="Y750" s="213" t="s">
        <v>1540</v>
      </c>
      <c r="Z750" s="213" t="s">
        <v>1105</v>
      </c>
      <c r="AA750" s="213">
        <v>75</v>
      </c>
      <c r="AB750" s="213">
        <v>165</v>
      </c>
      <c r="AC750" s="207" t="s">
        <v>1540</v>
      </c>
      <c r="AD750"/>
      <c r="AE750" s="206"/>
      <c r="AF750" s="94"/>
      <c r="AG750" s="94"/>
      <c r="AH750" s="94"/>
      <c r="AI750" s="94"/>
      <c r="AJ750" s="94"/>
      <c r="AK750" s="94"/>
      <c r="AL750" s="94"/>
      <c r="AM750" s="254"/>
      <c r="AN750" s="254"/>
      <c r="AO750" s="94"/>
      <c r="AP750" s="94"/>
      <c r="AQ750" s="94"/>
      <c r="AR750" s="94"/>
      <c r="AS750" s="207"/>
    </row>
    <row r="751" spans="13:45" ht="12.75">
      <c r="M751" s="104"/>
      <c r="O751" s="206" t="s">
        <v>3243</v>
      </c>
      <c r="P751" s="94" t="s">
        <v>4137</v>
      </c>
      <c r="Q751" s="180">
        <v>120353</v>
      </c>
      <c r="R751" s="258">
        <v>2500</v>
      </c>
      <c r="S751" s="259">
        <v>65</v>
      </c>
      <c r="T751" s="213" t="s">
        <v>5000</v>
      </c>
      <c r="U751" s="213">
        <v>3</v>
      </c>
      <c r="V751" s="213" t="s">
        <v>3439</v>
      </c>
      <c r="W751" s="213" t="s">
        <v>3361</v>
      </c>
      <c r="X751" s="213" t="s">
        <v>3490</v>
      </c>
      <c r="Y751" s="213" t="s">
        <v>1540</v>
      </c>
      <c r="Z751" s="213" t="s">
        <v>1106</v>
      </c>
      <c r="AA751" s="213">
        <v>65</v>
      </c>
      <c r="AB751" s="213">
        <v>143</v>
      </c>
      <c r="AC751" s="207" t="s">
        <v>1540</v>
      </c>
      <c r="AD751"/>
      <c r="AE751" s="206"/>
      <c r="AF751" s="94"/>
      <c r="AG751" s="94"/>
      <c r="AH751" s="94"/>
      <c r="AI751" s="94"/>
      <c r="AJ751" s="94"/>
      <c r="AK751" s="94"/>
      <c r="AL751" s="94"/>
      <c r="AM751" s="254"/>
      <c r="AN751" s="254"/>
      <c r="AO751" s="94"/>
      <c r="AP751" s="94"/>
      <c r="AQ751" s="94"/>
      <c r="AR751" s="94"/>
      <c r="AS751" s="207"/>
    </row>
    <row r="752" spans="13:45" ht="12.75">
      <c r="M752" s="104"/>
      <c r="O752" s="206" t="s">
        <v>3248</v>
      </c>
      <c r="P752" s="94" t="s">
        <v>4142</v>
      </c>
      <c r="Q752" s="180">
        <v>146961</v>
      </c>
      <c r="R752" s="258">
        <v>2500</v>
      </c>
      <c r="S752" s="259">
        <v>75</v>
      </c>
      <c r="T752" s="213" t="s">
        <v>5000</v>
      </c>
      <c r="U752" s="213">
        <v>3</v>
      </c>
      <c r="V752" s="213" t="s">
        <v>3439</v>
      </c>
      <c r="W752" s="213" t="s">
        <v>3361</v>
      </c>
      <c r="X752" s="213" t="s">
        <v>3490</v>
      </c>
      <c r="Y752" s="213" t="s">
        <v>1540</v>
      </c>
      <c r="Z752" s="213" t="s">
        <v>1105</v>
      </c>
      <c r="AA752" s="213">
        <v>75</v>
      </c>
      <c r="AB752" s="213">
        <v>165</v>
      </c>
      <c r="AC752" s="207" t="s">
        <v>1540</v>
      </c>
      <c r="AD752"/>
      <c r="AE752" s="206"/>
      <c r="AF752" s="94"/>
      <c r="AG752" s="94"/>
      <c r="AH752" s="94"/>
      <c r="AI752" s="94"/>
      <c r="AJ752" s="94"/>
      <c r="AK752" s="94"/>
      <c r="AL752" s="94"/>
      <c r="AM752" s="254"/>
      <c r="AN752" s="254"/>
      <c r="AO752" s="94"/>
      <c r="AP752" s="94"/>
      <c r="AQ752" s="94"/>
      <c r="AR752" s="94"/>
      <c r="AS752" s="207"/>
    </row>
    <row r="753" spans="13:45" ht="12.75">
      <c r="M753" s="104"/>
      <c r="O753" s="206" t="s">
        <v>3244</v>
      </c>
      <c r="P753" s="94" t="s">
        <v>4138</v>
      </c>
      <c r="Q753" s="180">
        <v>134753</v>
      </c>
      <c r="R753" s="258">
        <v>3200</v>
      </c>
      <c r="S753" s="259">
        <v>65</v>
      </c>
      <c r="T753" s="213" t="s">
        <v>5000</v>
      </c>
      <c r="U753" s="213">
        <v>3</v>
      </c>
      <c r="V753" s="213" t="s">
        <v>3439</v>
      </c>
      <c r="W753" s="213" t="s">
        <v>3361</v>
      </c>
      <c r="X753" s="213" t="s">
        <v>3490</v>
      </c>
      <c r="Y753" s="213" t="s">
        <v>1540</v>
      </c>
      <c r="Z753" s="213" t="s">
        <v>1106</v>
      </c>
      <c r="AA753" s="213">
        <v>65</v>
      </c>
      <c r="AB753" s="213">
        <v>143</v>
      </c>
      <c r="AC753" s="207" t="s">
        <v>1540</v>
      </c>
      <c r="AD753"/>
      <c r="AE753" s="206"/>
      <c r="AF753" s="94"/>
      <c r="AG753" s="94"/>
      <c r="AH753" s="94"/>
      <c r="AI753" s="94"/>
      <c r="AJ753" s="94"/>
      <c r="AK753" s="94"/>
      <c r="AL753" s="94"/>
      <c r="AM753" s="254"/>
      <c r="AN753" s="254"/>
      <c r="AO753" s="94"/>
      <c r="AP753" s="94"/>
      <c r="AQ753" s="94"/>
      <c r="AR753" s="94"/>
      <c r="AS753" s="207"/>
    </row>
    <row r="754" spans="13:45" ht="12.75">
      <c r="M754" s="104"/>
      <c r="O754" s="206" t="s">
        <v>3249</v>
      </c>
      <c r="P754" s="94" t="s">
        <v>4143</v>
      </c>
      <c r="Q754" s="180">
        <v>194931</v>
      </c>
      <c r="R754" s="258">
        <v>3200</v>
      </c>
      <c r="S754" s="259">
        <v>75</v>
      </c>
      <c r="T754" s="213" t="s">
        <v>5000</v>
      </c>
      <c r="U754" s="213">
        <v>3</v>
      </c>
      <c r="V754" s="213" t="s">
        <v>3439</v>
      </c>
      <c r="W754" s="213" t="s">
        <v>3361</v>
      </c>
      <c r="X754" s="213" t="s">
        <v>3490</v>
      </c>
      <c r="Y754" s="213" t="s">
        <v>1540</v>
      </c>
      <c r="Z754" s="213" t="s">
        <v>1105</v>
      </c>
      <c r="AA754" s="213">
        <v>75</v>
      </c>
      <c r="AB754" s="213">
        <v>165</v>
      </c>
      <c r="AC754" s="207" t="s">
        <v>1540</v>
      </c>
      <c r="AD754"/>
      <c r="AE754" s="206"/>
      <c r="AF754" s="94"/>
      <c r="AG754" s="94"/>
      <c r="AH754" s="94"/>
      <c r="AI754" s="94"/>
      <c r="AJ754" s="94"/>
      <c r="AK754" s="94"/>
      <c r="AL754" s="94"/>
      <c r="AM754" s="254"/>
      <c r="AN754" s="254"/>
      <c r="AO754" s="94"/>
      <c r="AP754" s="94"/>
      <c r="AQ754" s="94"/>
      <c r="AR754" s="94"/>
      <c r="AS754" s="207"/>
    </row>
    <row r="755" spans="13:45" ht="12.75">
      <c r="M755" s="104"/>
      <c r="O755" s="206" t="s">
        <v>3330</v>
      </c>
      <c r="P755" s="94" t="s">
        <v>2056</v>
      </c>
      <c r="Q755" s="180">
        <v>73594</v>
      </c>
      <c r="R755" s="258">
        <v>1250</v>
      </c>
      <c r="S755" s="259">
        <v>75</v>
      </c>
      <c r="T755" s="213" t="s">
        <v>5000</v>
      </c>
      <c r="U755" s="213">
        <v>3</v>
      </c>
      <c r="V755" s="213" t="s">
        <v>3443</v>
      </c>
      <c r="W755" s="213" t="s">
        <v>3572</v>
      </c>
      <c r="X755" s="213" t="s">
        <v>3490</v>
      </c>
      <c r="Y755" s="213" t="s">
        <v>1540</v>
      </c>
      <c r="Z755" s="213" t="s">
        <v>1105</v>
      </c>
      <c r="AA755" s="213">
        <v>75</v>
      </c>
      <c r="AB755" s="213">
        <v>165</v>
      </c>
      <c r="AC755" s="207" t="s">
        <v>1540</v>
      </c>
      <c r="AD755"/>
      <c r="AE755" s="206"/>
      <c r="AF755" s="94"/>
      <c r="AG755" s="94"/>
      <c r="AH755" s="94"/>
      <c r="AI755" s="94"/>
      <c r="AJ755" s="94"/>
      <c r="AK755" s="94"/>
      <c r="AL755" s="94"/>
      <c r="AM755" s="254"/>
      <c r="AN755" s="254"/>
      <c r="AO755" s="94"/>
      <c r="AP755" s="94"/>
      <c r="AQ755" s="94"/>
      <c r="AR755" s="94"/>
      <c r="AS755" s="207"/>
    </row>
    <row r="756" spans="13:45" ht="12.75">
      <c r="M756" s="104"/>
      <c r="O756" s="206" t="s">
        <v>3333</v>
      </c>
      <c r="P756" s="94" t="s">
        <v>2059</v>
      </c>
      <c r="Q756" s="180">
        <v>105108</v>
      </c>
      <c r="R756" s="258">
        <v>1600</v>
      </c>
      <c r="S756" s="259">
        <v>75</v>
      </c>
      <c r="T756" s="213" t="s">
        <v>5000</v>
      </c>
      <c r="U756" s="213">
        <v>3</v>
      </c>
      <c r="V756" s="213" t="s">
        <v>3443</v>
      </c>
      <c r="W756" s="213" t="s">
        <v>3572</v>
      </c>
      <c r="X756" s="213" t="s">
        <v>3490</v>
      </c>
      <c r="Y756" s="213" t="s">
        <v>1540</v>
      </c>
      <c r="Z756" s="213" t="s">
        <v>1105</v>
      </c>
      <c r="AA756" s="213">
        <v>75</v>
      </c>
      <c r="AB756" s="213">
        <v>165</v>
      </c>
      <c r="AC756" s="207" t="s">
        <v>1540</v>
      </c>
      <c r="AD756"/>
      <c r="AE756" s="206"/>
      <c r="AF756" s="94"/>
      <c r="AG756" s="94"/>
      <c r="AH756" s="94"/>
      <c r="AI756" s="94"/>
      <c r="AJ756" s="94"/>
      <c r="AK756" s="94"/>
      <c r="AL756" s="94"/>
      <c r="AM756" s="254"/>
      <c r="AN756" s="254"/>
      <c r="AO756" s="94"/>
      <c r="AP756" s="94"/>
      <c r="AQ756" s="94"/>
      <c r="AR756" s="94"/>
      <c r="AS756" s="207"/>
    </row>
    <row r="757" spans="13:45" ht="12.75">
      <c r="M757" s="104"/>
      <c r="O757" s="206" t="s">
        <v>3331</v>
      </c>
      <c r="P757" s="94" t="s">
        <v>2057</v>
      </c>
      <c r="Q757" s="180">
        <v>123549</v>
      </c>
      <c r="R757" s="258">
        <v>2000</v>
      </c>
      <c r="S757" s="259">
        <v>75</v>
      </c>
      <c r="T757" s="213" t="s">
        <v>5000</v>
      </c>
      <c r="U757" s="213">
        <v>3</v>
      </c>
      <c r="V757" s="213" t="s">
        <v>3443</v>
      </c>
      <c r="W757" s="213" t="s">
        <v>3572</v>
      </c>
      <c r="X757" s="213" t="s">
        <v>3490</v>
      </c>
      <c r="Y757" s="213" t="s">
        <v>1540</v>
      </c>
      <c r="Z757" s="213" t="s">
        <v>1105</v>
      </c>
      <c r="AA757" s="213">
        <v>75</v>
      </c>
      <c r="AB757" s="213">
        <v>165</v>
      </c>
      <c r="AC757" s="207" t="s">
        <v>1540</v>
      </c>
      <c r="AD757"/>
      <c r="AE757" s="206"/>
      <c r="AF757" s="94"/>
      <c r="AG757" s="94"/>
      <c r="AH757" s="94"/>
      <c r="AI757" s="94"/>
      <c r="AJ757" s="94"/>
      <c r="AK757" s="94"/>
      <c r="AL757" s="94"/>
      <c r="AM757" s="254"/>
      <c r="AN757" s="254"/>
      <c r="AO757" s="94"/>
      <c r="AP757" s="94"/>
      <c r="AQ757" s="94"/>
      <c r="AR757" s="94"/>
      <c r="AS757" s="207"/>
    </row>
    <row r="758" spans="13:45" ht="12.75">
      <c r="M758" s="104"/>
      <c r="O758" s="206" t="s">
        <v>3329</v>
      </c>
      <c r="P758" s="94" t="s">
        <v>2055</v>
      </c>
      <c r="Q758" s="180">
        <v>141536</v>
      </c>
      <c r="R758" s="258">
        <v>2500</v>
      </c>
      <c r="S758" s="259">
        <v>65</v>
      </c>
      <c r="T758" s="213" t="s">
        <v>5000</v>
      </c>
      <c r="U758" s="213">
        <v>3</v>
      </c>
      <c r="V758" s="213" t="s">
        <v>3443</v>
      </c>
      <c r="W758" s="213" t="s">
        <v>3572</v>
      </c>
      <c r="X758" s="213" t="s">
        <v>3490</v>
      </c>
      <c r="Y758" s="213" t="s">
        <v>1540</v>
      </c>
      <c r="Z758" s="213" t="s">
        <v>1106</v>
      </c>
      <c r="AA758" s="213">
        <v>65</v>
      </c>
      <c r="AB758" s="213">
        <v>143</v>
      </c>
      <c r="AC758" s="207" t="s">
        <v>1540</v>
      </c>
      <c r="AD758"/>
      <c r="AE758" s="206"/>
      <c r="AF758" s="94"/>
      <c r="AG758" s="94"/>
      <c r="AH758" s="94"/>
      <c r="AI758" s="94"/>
      <c r="AJ758" s="94"/>
      <c r="AK758" s="94"/>
      <c r="AL758" s="94"/>
      <c r="AM758" s="254"/>
      <c r="AN758" s="254"/>
      <c r="AO758" s="94"/>
      <c r="AP758" s="94"/>
      <c r="AQ758" s="94"/>
      <c r="AR758" s="94"/>
      <c r="AS758" s="207"/>
    </row>
    <row r="759" spans="13:45" ht="12.75">
      <c r="M759" s="104"/>
      <c r="O759" s="206" t="s">
        <v>3334</v>
      </c>
      <c r="P759" s="94" t="s">
        <v>2060</v>
      </c>
      <c r="Q759" s="180">
        <v>170910</v>
      </c>
      <c r="R759" s="258">
        <v>2500</v>
      </c>
      <c r="S759" s="259">
        <v>75</v>
      </c>
      <c r="T759" s="213" t="s">
        <v>5000</v>
      </c>
      <c r="U759" s="213">
        <v>3</v>
      </c>
      <c r="V759" s="213" t="s">
        <v>3443</v>
      </c>
      <c r="W759" s="213" t="s">
        <v>3572</v>
      </c>
      <c r="X759" s="213" t="s">
        <v>3490</v>
      </c>
      <c r="Y759" s="213" t="s">
        <v>1540</v>
      </c>
      <c r="Z759" s="213" t="s">
        <v>1105</v>
      </c>
      <c r="AA759" s="213">
        <v>75</v>
      </c>
      <c r="AB759" s="213">
        <v>165</v>
      </c>
      <c r="AC759" s="207" t="s">
        <v>1540</v>
      </c>
      <c r="AD759"/>
      <c r="AE759" s="206"/>
      <c r="AF759" s="94"/>
      <c r="AG759" s="94"/>
      <c r="AH759" s="94"/>
      <c r="AI759" s="94"/>
      <c r="AJ759" s="94"/>
      <c r="AK759" s="94"/>
      <c r="AL759" s="94"/>
      <c r="AM759" s="254"/>
      <c r="AN759" s="254"/>
      <c r="AO759" s="94"/>
      <c r="AP759" s="94"/>
      <c r="AQ759" s="94"/>
      <c r="AR759" s="94"/>
      <c r="AS759" s="207"/>
    </row>
    <row r="760" spans="13:45" ht="12.75">
      <c r="M760" s="104"/>
      <c r="O760" s="206" t="s">
        <v>3328</v>
      </c>
      <c r="P760" s="94" t="s">
        <v>2054</v>
      </c>
      <c r="Q760" s="180">
        <v>178403</v>
      </c>
      <c r="R760" s="258">
        <v>3200</v>
      </c>
      <c r="S760" s="259">
        <v>65</v>
      </c>
      <c r="T760" s="213" t="s">
        <v>5000</v>
      </c>
      <c r="U760" s="213">
        <v>3</v>
      </c>
      <c r="V760" s="213" t="s">
        <v>3443</v>
      </c>
      <c r="W760" s="213" t="s">
        <v>3572</v>
      </c>
      <c r="X760" s="213" t="s">
        <v>3490</v>
      </c>
      <c r="Y760" s="213" t="s">
        <v>1540</v>
      </c>
      <c r="Z760" s="213" t="s">
        <v>1106</v>
      </c>
      <c r="AA760" s="213">
        <v>65</v>
      </c>
      <c r="AB760" s="213">
        <v>143</v>
      </c>
      <c r="AC760" s="207" t="s">
        <v>1540</v>
      </c>
      <c r="AD760"/>
      <c r="AE760" s="206"/>
      <c r="AF760" s="94"/>
      <c r="AG760" s="94"/>
      <c r="AH760" s="94"/>
      <c r="AI760" s="94"/>
      <c r="AJ760" s="94"/>
      <c r="AK760" s="94"/>
      <c r="AL760" s="94"/>
      <c r="AM760" s="254"/>
      <c r="AN760" s="254"/>
      <c r="AO760" s="94"/>
      <c r="AP760" s="94"/>
      <c r="AQ760" s="94"/>
      <c r="AR760" s="94"/>
      <c r="AS760" s="207"/>
    </row>
    <row r="761" spans="13:45" ht="12.75">
      <c r="M761" s="104"/>
      <c r="O761" s="206" t="s">
        <v>3332</v>
      </c>
      <c r="P761" s="94" t="s">
        <v>2058</v>
      </c>
      <c r="Q761" s="180">
        <v>193077</v>
      </c>
      <c r="R761" s="258">
        <v>3200</v>
      </c>
      <c r="S761" s="259">
        <v>75</v>
      </c>
      <c r="T761" s="213" t="s">
        <v>5000</v>
      </c>
      <c r="U761" s="213">
        <v>3</v>
      </c>
      <c r="V761" s="213" t="s">
        <v>3443</v>
      </c>
      <c r="W761" s="213" t="s">
        <v>3572</v>
      </c>
      <c r="X761" s="213" t="s">
        <v>3490</v>
      </c>
      <c r="Y761" s="213" t="s">
        <v>1540</v>
      </c>
      <c r="Z761" s="213" t="s">
        <v>1105</v>
      </c>
      <c r="AA761" s="213">
        <v>75</v>
      </c>
      <c r="AB761" s="213">
        <v>165</v>
      </c>
      <c r="AC761" s="207" t="s">
        <v>1540</v>
      </c>
      <c r="AD761"/>
      <c r="AE761" s="206"/>
      <c r="AF761" s="94"/>
      <c r="AG761" s="94"/>
      <c r="AH761" s="94"/>
      <c r="AI761" s="94"/>
      <c r="AJ761" s="94"/>
      <c r="AK761" s="94"/>
      <c r="AL761" s="94"/>
      <c r="AM761" s="254"/>
      <c r="AN761" s="254"/>
      <c r="AO761" s="94"/>
      <c r="AP761" s="94"/>
      <c r="AQ761" s="94"/>
      <c r="AR761" s="94"/>
      <c r="AS761" s="207"/>
    </row>
    <row r="762" spans="13:45" ht="12.75">
      <c r="M762" s="104"/>
      <c r="O762" s="206" t="s">
        <v>3251</v>
      </c>
      <c r="P762" s="94" t="s">
        <v>4145</v>
      </c>
      <c r="Q762" s="180">
        <v>221225</v>
      </c>
      <c r="R762" s="258">
        <v>3200</v>
      </c>
      <c r="S762" s="259">
        <v>100</v>
      </c>
      <c r="T762" s="213" t="s">
        <v>5010</v>
      </c>
      <c r="U762" s="213">
        <v>3</v>
      </c>
      <c r="V762" s="213" t="s">
        <v>3439</v>
      </c>
      <c r="W762" s="213" t="s">
        <v>3361</v>
      </c>
      <c r="X762" s="213" t="s">
        <v>3490</v>
      </c>
      <c r="Y762" s="213" t="s">
        <v>1540</v>
      </c>
      <c r="Z762" s="213" t="s">
        <v>1107</v>
      </c>
      <c r="AA762" s="213">
        <v>100</v>
      </c>
      <c r="AB762" s="213">
        <v>220</v>
      </c>
      <c r="AC762" s="207" t="s">
        <v>1540</v>
      </c>
      <c r="AD762"/>
      <c r="AE762" s="206"/>
      <c r="AF762" s="94"/>
      <c r="AG762" s="94"/>
      <c r="AH762" s="94"/>
      <c r="AI762" s="94"/>
      <c r="AJ762" s="94"/>
      <c r="AK762" s="94"/>
      <c r="AL762" s="94"/>
      <c r="AM762" s="254"/>
      <c r="AN762" s="254"/>
      <c r="AO762" s="94"/>
      <c r="AP762" s="94"/>
      <c r="AQ762" s="94"/>
      <c r="AR762" s="94"/>
      <c r="AS762" s="207"/>
    </row>
    <row r="763" spans="13:45" ht="12.75">
      <c r="M763" s="104"/>
      <c r="O763" s="206" t="s">
        <v>3250</v>
      </c>
      <c r="P763" s="94" t="s">
        <v>4144</v>
      </c>
      <c r="Q763" s="180">
        <v>226880</v>
      </c>
      <c r="R763" s="258">
        <v>4000</v>
      </c>
      <c r="S763" s="259">
        <v>75</v>
      </c>
      <c r="T763" s="213" t="s">
        <v>5010</v>
      </c>
      <c r="U763" s="213">
        <v>3</v>
      </c>
      <c r="V763" s="213" t="s">
        <v>3439</v>
      </c>
      <c r="W763" s="213" t="s">
        <v>3361</v>
      </c>
      <c r="X763" s="213" t="s">
        <v>3490</v>
      </c>
      <c r="Y763" s="213" t="s">
        <v>1540</v>
      </c>
      <c r="Z763" s="213" t="s">
        <v>1108</v>
      </c>
      <c r="AA763" s="213">
        <v>75</v>
      </c>
      <c r="AB763" s="213">
        <v>165</v>
      </c>
      <c r="AC763" s="207" t="s">
        <v>1540</v>
      </c>
      <c r="AD763"/>
      <c r="AE763" s="206"/>
      <c r="AF763" s="94"/>
      <c r="AG763" s="94"/>
      <c r="AH763" s="94"/>
      <c r="AI763" s="94"/>
      <c r="AJ763" s="94"/>
      <c r="AK763" s="94"/>
      <c r="AL763" s="94"/>
      <c r="AM763" s="254"/>
      <c r="AN763" s="254"/>
      <c r="AO763" s="94"/>
      <c r="AP763" s="94"/>
      <c r="AQ763" s="94"/>
      <c r="AR763" s="94"/>
      <c r="AS763" s="207"/>
    </row>
    <row r="764" spans="13:45" ht="12.75">
      <c r="M764" s="104"/>
      <c r="O764" s="206" t="s">
        <v>3252</v>
      </c>
      <c r="P764" s="94" t="s">
        <v>4146</v>
      </c>
      <c r="Q764" s="180">
        <v>266074</v>
      </c>
      <c r="R764" s="258">
        <v>4000</v>
      </c>
      <c r="S764" s="259">
        <v>100</v>
      </c>
      <c r="T764" s="213" t="s">
        <v>5010</v>
      </c>
      <c r="U764" s="213">
        <v>3</v>
      </c>
      <c r="V764" s="213" t="s">
        <v>3439</v>
      </c>
      <c r="W764" s="213" t="s">
        <v>3361</v>
      </c>
      <c r="X764" s="213" t="s">
        <v>3490</v>
      </c>
      <c r="Y764" s="213" t="s">
        <v>1540</v>
      </c>
      <c r="Z764" s="213" t="s">
        <v>1107</v>
      </c>
      <c r="AA764" s="213">
        <v>100</v>
      </c>
      <c r="AB764" s="213">
        <v>220</v>
      </c>
      <c r="AC764" s="207" t="s">
        <v>1540</v>
      </c>
      <c r="AD764"/>
      <c r="AE764" s="206"/>
      <c r="AF764" s="94"/>
      <c r="AG764" s="94"/>
      <c r="AH764" s="94"/>
      <c r="AI764" s="94"/>
      <c r="AJ764" s="94"/>
      <c r="AK764" s="94"/>
      <c r="AL764" s="94"/>
      <c r="AM764" s="254"/>
      <c r="AN764" s="254"/>
      <c r="AO764" s="94"/>
      <c r="AP764" s="94"/>
      <c r="AQ764" s="94"/>
      <c r="AR764" s="94"/>
      <c r="AS764" s="207"/>
    </row>
    <row r="765" spans="13:45" ht="12.75">
      <c r="M765" s="104"/>
      <c r="O765" s="206" t="s">
        <v>3345</v>
      </c>
      <c r="P765" s="94" t="s">
        <v>2071</v>
      </c>
      <c r="Q765" s="180">
        <v>233193</v>
      </c>
      <c r="R765" s="258">
        <v>3200</v>
      </c>
      <c r="S765" s="259">
        <v>100</v>
      </c>
      <c r="T765" s="213" t="s">
        <v>5010</v>
      </c>
      <c r="U765" s="213">
        <v>3</v>
      </c>
      <c r="V765" s="213" t="s">
        <v>3443</v>
      </c>
      <c r="W765" s="213" t="s">
        <v>3572</v>
      </c>
      <c r="X765" s="213" t="s">
        <v>3490</v>
      </c>
      <c r="Y765" s="213" t="s">
        <v>1540</v>
      </c>
      <c r="Z765" s="213" t="s">
        <v>1107</v>
      </c>
      <c r="AA765" s="213">
        <v>100</v>
      </c>
      <c r="AB765" s="213">
        <v>220</v>
      </c>
      <c r="AC765" s="207" t="s">
        <v>1540</v>
      </c>
      <c r="AD765"/>
      <c r="AE765" s="206"/>
      <c r="AF765" s="94"/>
      <c r="AG765" s="94"/>
      <c r="AH765" s="94"/>
      <c r="AI765" s="94"/>
      <c r="AJ765" s="94"/>
      <c r="AK765" s="94"/>
      <c r="AL765" s="94"/>
      <c r="AM765" s="254"/>
      <c r="AN765" s="254"/>
      <c r="AO765" s="94"/>
      <c r="AP765" s="94"/>
      <c r="AQ765" s="94"/>
      <c r="AR765" s="94"/>
      <c r="AS765" s="207"/>
    </row>
    <row r="766" spans="13:45" ht="12.75">
      <c r="M766" s="104"/>
      <c r="O766" s="206" t="s">
        <v>3254</v>
      </c>
      <c r="P766" s="94" t="s">
        <v>4148</v>
      </c>
      <c r="Q766" s="180">
        <v>598628</v>
      </c>
      <c r="R766" s="258">
        <v>6300</v>
      </c>
      <c r="S766" s="259">
        <v>100</v>
      </c>
      <c r="T766" s="213" t="s">
        <v>5012</v>
      </c>
      <c r="U766" s="213">
        <v>3</v>
      </c>
      <c r="V766" s="213" t="s">
        <v>3439</v>
      </c>
      <c r="W766" s="213" t="s">
        <v>3361</v>
      </c>
      <c r="X766" s="213" t="s">
        <v>3490</v>
      </c>
      <c r="Y766" s="213" t="s">
        <v>1540</v>
      </c>
      <c r="Z766" s="213" t="s">
        <v>1109</v>
      </c>
      <c r="AA766" s="213">
        <v>100</v>
      </c>
      <c r="AB766" s="213">
        <v>220</v>
      </c>
      <c r="AC766" s="207" t="s">
        <v>1540</v>
      </c>
      <c r="AD766"/>
      <c r="AE766" s="206"/>
      <c r="AF766" s="94"/>
      <c r="AG766" s="94"/>
      <c r="AH766" s="94"/>
      <c r="AI766" s="94"/>
      <c r="AJ766" s="94"/>
      <c r="AK766" s="94"/>
      <c r="AL766" s="94"/>
      <c r="AM766" s="254"/>
      <c r="AN766" s="254"/>
      <c r="AO766" s="94"/>
      <c r="AP766" s="94"/>
      <c r="AQ766" s="94"/>
      <c r="AR766" s="94"/>
      <c r="AS766" s="207"/>
    </row>
    <row r="767" spans="13:45" ht="12.75">
      <c r="M767" s="104"/>
      <c r="O767" s="206" t="s">
        <v>3340</v>
      </c>
      <c r="P767" s="94" t="s">
        <v>2066</v>
      </c>
      <c r="Q767" s="180">
        <v>248556</v>
      </c>
      <c r="R767" s="258">
        <v>4000</v>
      </c>
      <c r="S767" s="259">
        <v>75</v>
      </c>
      <c r="T767" s="213" t="s">
        <v>5010</v>
      </c>
      <c r="U767" s="213">
        <v>3</v>
      </c>
      <c r="V767" s="213" t="s">
        <v>3443</v>
      </c>
      <c r="W767" s="213" t="s">
        <v>3572</v>
      </c>
      <c r="X767" s="213" t="s">
        <v>3490</v>
      </c>
      <c r="Y767" s="213" t="s">
        <v>1540</v>
      </c>
      <c r="Z767" s="213" t="s">
        <v>1108</v>
      </c>
      <c r="AA767" s="213">
        <v>75</v>
      </c>
      <c r="AB767" s="213">
        <v>165</v>
      </c>
      <c r="AC767" s="207" t="s">
        <v>1540</v>
      </c>
      <c r="AD767"/>
      <c r="AE767" s="206"/>
      <c r="AF767" s="94"/>
      <c r="AG767" s="94"/>
      <c r="AH767" s="94"/>
      <c r="AI767" s="94"/>
      <c r="AJ767" s="94"/>
      <c r="AK767" s="94"/>
      <c r="AL767" s="94"/>
      <c r="AM767" s="254"/>
      <c r="AN767" s="254"/>
      <c r="AO767" s="94"/>
      <c r="AP767" s="94"/>
      <c r="AQ767" s="94"/>
      <c r="AR767" s="94"/>
      <c r="AS767" s="207"/>
    </row>
    <row r="768" spans="13:45" ht="12.75">
      <c r="M768" s="104"/>
      <c r="O768" s="206" t="s">
        <v>3344</v>
      </c>
      <c r="P768" s="94" t="s">
        <v>2070</v>
      </c>
      <c r="Q768" s="180">
        <v>274062</v>
      </c>
      <c r="R768" s="258">
        <v>4000</v>
      </c>
      <c r="S768" s="259">
        <v>100</v>
      </c>
      <c r="T768" s="213" t="s">
        <v>5010</v>
      </c>
      <c r="U768" s="213">
        <v>3</v>
      </c>
      <c r="V768" s="213" t="s">
        <v>3443</v>
      </c>
      <c r="W768" s="213" t="s">
        <v>3572</v>
      </c>
      <c r="X768" s="213" t="s">
        <v>3490</v>
      </c>
      <c r="Y768" s="213" t="s">
        <v>1540</v>
      </c>
      <c r="Z768" s="213" t="s">
        <v>1107</v>
      </c>
      <c r="AA768" s="213">
        <v>100</v>
      </c>
      <c r="AB768" s="213">
        <v>220</v>
      </c>
      <c r="AC768" s="207" t="s">
        <v>1540</v>
      </c>
      <c r="AD768"/>
      <c r="AE768" s="206"/>
      <c r="AF768" s="94"/>
      <c r="AG768" s="94"/>
      <c r="AH768" s="94"/>
      <c r="AI768" s="94"/>
      <c r="AJ768" s="94"/>
      <c r="AK768" s="94"/>
      <c r="AL768" s="94"/>
      <c r="AM768" s="254"/>
      <c r="AN768" s="254"/>
      <c r="AO768" s="94"/>
      <c r="AP768" s="94"/>
      <c r="AQ768" s="94"/>
      <c r="AR768" s="94"/>
      <c r="AS768" s="207"/>
    </row>
    <row r="769" spans="13:45" ht="12.75">
      <c r="M769" s="104"/>
      <c r="O769" s="206" t="s">
        <v>3253</v>
      </c>
      <c r="P769" s="94" t="s">
        <v>4147</v>
      </c>
      <c r="Q769" s="180">
        <v>443888</v>
      </c>
      <c r="R769" s="258">
        <v>5000</v>
      </c>
      <c r="S769" s="259">
        <v>100</v>
      </c>
      <c r="T769" s="213" t="s">
        <v>5012</v>
      </c>
      <c r="U769" s="213">
        <v>3</v>
      </c>
      <c r="V769" s="213" t="s">
        <v>3439</v>
      </c>
      <c r="W769" s="213" t="s">
        <v>3361</v>
      </c>
      <c r="X769" s="213" t="s">
        <v>3490</v>
      </c>
      <c r="Y769" s="213" t="s">
        <v>1540</v>
      </c>
      <c r="Z769" s="213" t="s">
        <v>1109</v>
      </c>
      <c r="AA769" s="213">
        <v>100</v>
      </c>
      <c r="AB769" s="213">
        <v>220</v>
      </c>
      <c r="AC769" s="207" t="s">
        <v>1540</v>
      </c>
      <c r="AD769"/>
      <c r="AE769" s="206"/>
      <c r="AF769" s="94"/>
      <c r="AG769" s="94"/>
      <c r="AH769" s="94"/>
      <c r="AI769" s="94"/>
      <c r="AJ769" s="94"/>
      <c r="AK769" s="94"/>
      <c r="AL769" s="94"/>
      <c r="AM769" s="254"/>
      <c r="AN769" s="254"/>
      <c r="AO769" s="94"/>
      <c r="AP769" s="94"/>
      <c r="AQ769" s="94"/>
      <c r="AR769" s="94"/>
      <c r="AS769" s="207"/>
    </row>
    <row r="770" spans="13:45" ht="12.75">
      <c r="M770" s="104"/>
      <c r="O770" s="206" t="s">
        <v>3346</v>
      </c>
      <c r="P770" s="94" t="s">
        <v>2072</v>
      </c>
      <c r="Q770" s="180">
        <v>418540</v>
      </c>
      <c r="R770" s="258">
        <v>5000</v>
      </c>
      <c r="S770" s="259">
        <v>100</v>
      </c>
      <c r="T770" s="213" t="s">
        <v>5012</v>
      </c>
      <c r="U770" s="213">
        <v>3</v>
      </c>
      <c r="V770" s="213" t="s">
        <v>3443</v>
      </c>
      <c r="W770" s="213" t="s">
        <v>3572</v>
      </c>
      <c r="X770" s="213" t="s">
        <v>3490</v>
      </c>
      <c r="Y770" s="213" t="s">
        <v>1540</v>
      </c>
      <c r="Z770" s="213" t="s">
        <v>1109</v>
      </c>
      <c r="AA770" s="213">
        <v>100</v>
      </c>
      <c r="AB770" s="213">
        <v>220</v>
      </c>
      <c r="AC770" s="207" t="s">
        <v>1540</v>
      </c>
      <c r="AD770"/>
      <c r="AE770" s="206"/>
      <c r="AF770" s="94"/>
      <c r="AG770" s="94"/>
      <c r="AH770" s="94"/>
      <c r="AI770" s="94"/>
      <c r="AJ770" s="94"/>
      <c r="AK770" s="94"/>
      <c r="AL770" s="94"/>
      <c r="AM770" s="254"/>
      <c r="AN770" s="254"/>
      <c r="AO770" s="94"/>
      <c r="AP770" s="94"/>
      <c r="AQ770" s="94"/>
      <c r="AR770" s="94"/>
      <c r="AS770" s="207"/>
    </row>
    <row r="771" spans="13:45" ht="12.75">
      <c r="M771" s="104"/>
      <c r="O771" s="206" t="s">
        <v>3347</v>
      </c>
      <c r="P771" s="94" t="s">
        <v>2073</v>
      </c>
      <c r="Q771" s="180">
        <v>652622</v>
      </c>
      <c r="R771" s="258">
        <v>6300</v>
      </c>
      <c r="S771" s="259">
        <v>100</v>
      </c>
      <c r="T771" s="213" t="s">
        <v>5012</v>
      </c>
      <c r="U771" s="213">
        <v>3</v>
      </c>
      <c r="V771" s="213" t="s">
        <v>3443</v>
      </c>
      <c r="W771" s="213" t="s">
        <v>3572</v>
      </c>
      <c r="X771" s="213" t="s">
        <v>3490</v>
      </c>
      <c r="Y771" s="213" t="s">
        <v>1540</v>
      </c>
      <c r="Z771" s="213" t="s">
        <v>1109</v>
      </c>
      <c r="AA771" s="213">
        <v>100</v>
      </c>
      <c r="AB771" s="213">
        <v>220</v>
      </c>
      <c r="AC771" s="207" t="s">
        <v>1540</v>
      </c>
      <c r="AD771"/>
      <c r="AE771" s="206"/>
      <c r="AF771" s="94"/>
      <c r="AG771" s="94"/>
      <c r="AH771" s="94"/>
      <c r="AI771" s="94"/>
      <c r="AJ771" s="94"/>
      <c r="AK771" s="94"/>
      <c r="AL771" s="94"/>
      <c r="AM771" s="254"/>
      <c r="AN771" s="254"/>
      <c r="AO771" s="94"/>
      <c r="AP771" s="94"/>
      <c r="AQ771" s="94"/>
      <c r="AR771" s="94"/>
      <c r="AS771" s="207"/>
    </row>
    <row r="772" spans="13:45" ht="12.75">
      <c r="M772" s="104"/>
      <c r="O772" s="206" t="s">
        <v>3255</v>
      </c>
      <c r="P772" s="94" t="s">
        <v>4149</v>
      </c>
      <c r="Q772" s="180">
        <v>64326</v>
      </c>
      <c r="R772" s="258">
        <v>800</v>
      </c>
      <c r="S772" s="259">
        <v>36</v>
      </c>
      <c r="T772" s="213" t="s">
        <v>4994</v>
      </c>
      <c r="U772" s="213">
        <v>4</v>
      </c>
      <c r="V772" s="213" t="s">
        <v>3439</v>
      </c>
      <c r="W772" s="213" t="s">
        <v>3361</v>
      </c>
      <c r="X772" s="213" t="s">
        <v>3490</v>
      </c>
      <c r="Y772" s="213" t="s">
        <v>1540</v>
      </c>
      <c r="Z772" s="213" t="s">
        <v>3491</v>
      </c>
      <c r="AA772" s="213">
        <v>36</v>
      </c>
      <c r="AB772" s="213">
        <v>75.6</v>
      </c>
      <c r="AC772" s="207" t="s">
        <v>1540</v>
      </c>
      <c r="AD772"/>
      <c r="AE772" s="206"/>
      <c r="AF772" s="94"/>
      <c r="AG772" s="94"/>
      <c r="AH772" s="94"/>
      <c r="AI772" s="94"/>
      <c r="AJ772" s="94"/>
      <c r="AK772" s="94"/>
      <c r="AL772" s="94"/>
      <c r="AM772" s="254"/>
      <c r="AN772" s="254"/>
      <c r="AO772" s="94"/>
      <c r="AP772" s="94"/>
      <c r="AQ772" s="94"/>
      <c r="AR772" s="94"/>
      <c r="AS772" s="207"/>
    </row>
    <row r="773" spans="13:45" ht="12.75">
      <c r="M773" s="104"/>
      <c r="O773" s="206" t="s">
        <v>3256</v>
      </c>
      <c r="P773" s="94" t="s">
        <v>4150</v>
      </c>
      <c r="Q773" s="180">
        <v>75803</v>
      </c>
      <c r="R773" s="258">
        <v>1250</v>
      </c>
      <c r="S773" s="259">
        <v>36</v>
      </c>
      <c r="T773" s="213" t="s">
        <v>4994</v>
      </c>
      <c r="U773" s="213">
        <v>4</v>
      </c>
      <c r="V773" s="213" t="s">
        <v>3439</v>
      </c>
      <c r="W773" s="213" t="s">
        <v>3361</v>
      </c>
      <c r="X773" s="213" t="s">
        <v>3490</v>
      </c>
      <c r="Y773" s="213" t="s">
        <v>1540</v>
      </c>
      <c r="Z773" s="213" t="s">
        <v>3491</v>
      </c>
      <c r="AA773" s="213">
        <v>36</v>
      </c>
      <c r="AB773" s="213">
        <v>75.6</v>
      </c>
      <c r="AC773" s="207" t="s">
        <v>1540</v>
      </c>
      <c r="AD773"/>
      <c r="AE773" s="206"/>
      <c r="AF773" s="94"/>
      <c r="AG773" s="94"/>
      <c r="AH773" s="94"/>
      <c r="AI773" s="94"/>
      <c r="AJ773" s="94"/>
      <c r="AK773" s="94"/>
      <c r="AL773" s="94"/>
      <c r="AM773" s="254"/>
      <c r="AN773" s="254"/>
      <c r="AO773" s="94"/>
      <c r="AP773" s="94"/>
      <c r="AQ773" s="94"/>
      <c r="AR773" s="94"/>
      <c r="AS773" s="207"/>
    </row>
    <row r="774" spans="13:45" ht="12.75">
      <c r="M774" s="104"/>
      <c r="O774" s="206" t="s">
        <v>3315</v>
      </c>
      <c r="P774" s="94" t="s">
        <v>3431</v>
      </c>
      <c r="Q774" s="180">
        <v>84296</v>
      </c>
      <c r="R774" s="258">
        <v>800</v>
      </c>
      <c r="S774" s="259">
        <v>36</v>
      </c>
      <c r="T774" s="213" t="s">
        <v>4994</v>
      </c>
      <c r="U774" s="213">
        <v>4</v>
      </c>
      <c r="V774" s="213" t="s">
        <v>3443</v>
      </c>
      <c r="W774" s="213" t="s">
        <v>3572</v>
      </c>
      <c r="X774" s="213" t="s">
        <v>3490</v>
      </c>
      <c r="Y774" s="213" t="s">
        <v>1540</v>
      </c>
      <c r="Z774" s="213" t="s">
        <v>3491</v>
      </c>
      <c r="AA774" s="213">
        <v>36</v>
      </c>
      <c r="AB774" s="213">
        <v>75.6</v>
      </c>
      <c r="AC774" s="207" t="s">
        <v>1540</v>
      </c>
      <c r="AD774"/>
      <c r="AE774" s="206"/>
      <c r="AF774" s="94"/>
      <c r="AG774" s="94"/>
      <c r="AH774" s="94"/>
      <c r="AI774" s="94"/>
      <c r="AJ774" s="94"/>
      <c r="AK774" s="94"/>
      <c r="AL774" s="94"/>
      <c r="AM774" s="254"/>
      <c r="AN774" s="254"/>
      <c r="AO774" s="94"/>
      <c r="AP774" s="94"/>
      <c r="AQ774" s="94"/>
      <c r="AR774" s="94"/>
      <c r="AS774" s="207"/>
    </row>
    <row r="775" spans="13:45" ht="12.75">
      <c r="M775" s="104"/>
      <c r="O775" s="206" t="s">
        <v>3314</v>
      </c>
      <c r="P775" s="94" t="s">
        <v>3430</v>
      </c>
      <c r="Q775" s="180">
        <v>81665</v>
      </c>
      <c r="R775" s="258">
        <v>1250</v>
      </c>
      <c r="S775" s="259">
        <v>36</v>
      </c>
      <c r="T775" s="213" t="s">
        <v>4994</v>
      </c>
      <c r="U775" s="213">
        <v>4</v>
      </c>
      <c r="V775" s="213" t="s">
        <v>3443</v>
      </c>
      <c r="W775" s="213" t="s">
        <v>3572</v>
      </c>
      <c r="X775" s="213" t="s">
        <v>3490</v>
      </c>
      <c r="Y775" s="213" t="s">
        <v>1540</v>
      </c>
      <c r="Z775" s="213" t="s">
        <v>3491</v>
      </c>
      <c r="AA775" s="213">
        <v>36</v>
      </c>
      <c r="AB775" s="213">
        <v>75.6</v>
      </c>
      <c r="AC775" s="207" t="s">
        <v>1540</v>
      </c>
      <c r="AD775"/>
      <c r="AE775" s="206"/>
      <c r="AF775" s="94"/>
      <c r="AG775" s="94"/>
      <c r="AH775" s="94"/>
      <c r="AI775" s="94"/>
      <c r="AJ775" s="94"/>
      <c r="AK775" s="94"/>
      <c r="AL775" s="94"/>
      <c r="AM775" s="254"/>
      <c r="AN775" s="254"/>
      <c r="AO775" s="94"/>
      <c r="AP775" s="94"/>
      <c r="AQ775" s="94"/>
      <c r="AR775" s="94"/>
      <c r="AS775" s="207"/>
    </row>
    <row r="776" spans="13:45" ht="12.75">
      <c r="M776" s="104"/>
      <c r="O776" s="206" t="s">
        <v>3259</v>
      </c>
      <c r="P776" s="94" t="s">
        <v>4153</v>
      </c>
      <c r="Q776" s="180">
        <v>90374</v>
      </c>
      <c r="R776" s="258">
        <v>1250</v>
      </c>
      <c r="S776" s="259">
        <v>55</v>
      </c>
      <c r="T776" s="213" t="s">
        <v>4997</v>
      </c>
      <c r="U776" s="213">
        <v>4</v>
      </c>
      <c r="V776" s="213" t="s">
        <v>3439</v>
      </c>
      <c r="W776" s="213" t="s">
        <v>3361</v>
      </c>
      <c r="X776" s="213" t="s">
        <v>3490</v>
      </c>
      <c r="Y776" s="213" t="s">
        <v>1540</v>
      </c>
      <c r="Z776" s="213" t="s">
        <v>3492</v>
      </c>
      <c r="AA776" s="213">
        <v>55</v>
      </c>
      <c r="AB776" s="213">
        <v>121</v>
      </c>
      <c r="AC776" s="207" t="s">
        <v>1540</v>
      </c>
      <c r="AD776"/>
      <c r="AE776" s="206"/>
      <c r="AF776" s="94"/>
      <c r="AG776" s="94"/>
      <c r="AH776" s="94"/>
      <c r="AI776" s="94"/>
      <c r="AJ776" s="94"/>
      <c r="AK776" s="94"/>
      <c r="AL776" s="94"/>
      <c r="AM776" s="254"/>
      <c r="AN776" s="254"/>
      <c r="AO776" s="94"/>
      <c r="AP776" s="94"/>
      <c r="AQ776" s="94"/>
      <c r="AR776" s="94"/>
      <c r="AS776" s="207"/>
    </row>
    <row r="777" spans="13:45" ht="12.75">
      <c r="M777" s="104"/>
      <c r="O777" s="206" t="s">
        <v>3257</v>
      </c>
      <c r="P777" s="94" t="s">
        <v>4151</v>
      </c>
      <c r="Q777" s="180">
        <v>95945</v>
      </c>
      <c r="R777" s="258">
        <v>1600</v>
      </c>
      <c r="S777" s="259">
        <v>42</v>
      </c>
      <c r="T777" s="213" t="s">
        <v>4997</v>
      </c>
      <c r="U777" s="213">
        <v>4</v>
      </c>
      <c r="V777" s="213" t="s">
        <v>3439</v>
      </c>
      <c r="W777" s="213" t="s">
        <v>3361</v>
      </c>
      <c r="X777" s="213" t="s">
        <v>3490</v>
      </c>
      <c r="Y777" s="213" t="s">
        <v>1540</v>
      </c>
      <c r="Z777" s="213" t="s">
        <v>3493</v>
      </c>
      <c r="AA777" s="213">
        <v>42</v>
      </c>
      <c r="AB777" s="213">
        <v>88.2</v>
      </c>
      <c r="AC777" s="207" t="s">
        <v>1540</v>
      </c>
      <c r="AD777"/>
      <c r="AE777" s="206"/>
      <c r="AF777" s="94"/>
      <c r="AG777" s="94"/>
      <c r="AH777" s="94"/>
      <c r="AI777" s="94"/>
      <c r="AJ777" s="94"/>
      <c r="AK777" s="94"/>
      <c r="AL777" s="94"/>
      <c r="AM777" s="254"/>
      <c r="AN777" s="254"/>
      <c r="AO777" s="94"/>
      <c r="AP777" s="94"/>
      <c r="AQ777" s="94"/>
      <c r="AR777" s="94"/>
      <c r="AS777" s="207"/>
    </row>
    <row r="778" spans="13:45" ht="12.75">
      <c r="M778" s="104"/>
      <c r="O778" s="206" t="s">
        <v>3260</v>
      </c>
      <c r="P778" s="94" t="s">
        <v>4154</v>
      </c>
      <c r="Q778" s="180">
        <v>114131</v>
      </c>
      <c r="R778" s="258">
        <v>1600</v>
      </c>
      <c r="S778" s="259">
        <v>55</v>
      </c>
      <c r="T778" s="213" t="s">
        <v>4997</v>
      </c>
      <c r="U778" s="213">
        <v>4</v>
      </c>
      <c r="V778" s="213" t="s">
        <v>3439</v>
      </c>
      <c r="W778" s="213" t="s">
        <v>3361</v>
      </c>
      <c r="X778" s="213" t="s">
        <v>3490</v>
      </c>
      <c r="Y778" s="213" t="s">
        <v>1540</v>
      </c>
      <c r="Z778" s="213" t="s">
        <v>3492</v>
      </c>
      <c r="AA778" s="213">
        <v>55</v>
      </c>
      <c r="AB778" s="213">
        <v>121</v>
      </c>
      <c r="AC778" s="207" t="s">
        <v>1540</v>
      </c>
      <c r="AD778"/>
      <c r="AE778" s="206"/>
      <c r="AF778" s="94"/>
      <c r="AG778" s="94"/>
      <c r="AH778" s="94"/>
      <c r="AI778" s="94"/>
      <c r="AJ778" s="94"/>
      <c r="AK778" s="94"/>
      <c r="AL778" s="94"/>
      <c r="AM778" s="254"/>
      <c r="AN778" s="254"/>
      <c r="AO778" s="94"/>
      <c r="AP778" s="94"/>
      <c r="AQ778" s="94"/>
      <c r="AR778" s="94"/>
      <c r="AS778" s="207"/>
    </row>
    <row r="779" spans="13:45" ht="12.75">
      <c r="M779" s="104"/>
      <c r="O779" s="206" t="s">
        <v>3258</v>
      </c>
      <c r="P779" s="94" t="s">
        <v>4152</v>
      </c>
      <c r="Q779" s="180">
        <v>115080</v>
      </c>
      <c r="R779" s="258">
        <v>2000</v>
      </c>
      <c r="S779" s="259">
        <v>42</v>
      </c>
      <c r="T779" s="213" t="s">
        <v>4997</v>
      </c>
      <c r="U779" s="213">
        <v>4</v>
      </c>
      <c r="V779" s="213" t="s">
        <v>3439</v>
      </c>
      <c r="W779" s="213" t="s">
        <v>3361</v>
      </c>
      <c r="X779" s="213" t="s">
        <v>3490</v>
      </c>
      <c r="Y779" s="213" t="s">
        <v>1540</v>
      </c>
      <c r="Z779" s="213" t="s">
        <v>3493</v>
      </c>
      <c r="AA779" s="213">
        <v>42</v>
      </c>
      <c r="AB779" s="213">
        <v>88.2</v>
      </c>
      <c r="AC779" s="207" t="s">
        <v>1540</v>
      </c>
      <c r="AD779"/>
      <c r="AE779" s="206"/>
      <c r="AF779" s="94"/>
      <c r="AG779" s="94"/>
      <c r="AH779" s="94"/>
      <c r="AI779" s="94"/>
      <c r="AJ779" s="94"/>
      <c r="AK779" s="94"/>
      <c r="AL779" s="94"/>
      <c r="AM779" s="254"/>
      <c r="AN779" s="254"/>
      <c r="AO779" s="94"/>
      <c r="AP779" s="94"/>
      <c r="AQ779" s="94"/>
      <c r="AR779" s="94"/>
      <c r="AS779" s="207"/>
    </row>
    <row r="780" spans="13:45" ht="12.75">
      <c r="M780" s="104"/>
      <c r="O780" s="206" t="s">
        <v>3261</v>
      </c>
      <c r="P780" s="94" t="s">
        <v>4155</v>
      </c>
      <c r="Q780" s="180">
        <v>124864</v>
      </c>
      <c r="R780" s="258">
        <v>2000</v>
      </c>
      <c r="S780" s="259">
        <v>55</v>
      </c>
      <c r="T780" s="213" t="s">
        <v>4997</v>
      </c>
      <c r="U780" s="213">
        <v>4</v>
      </c>
      <c r="V780" s="213" t="s">
        <v>3439</v>
      </c>
      <c r="W780" s="213" t="s">
        <v>3361</v>
      </c>
      <c r="X780" s="213" t="s">
        <v>3490</v>
      </c>
      <c r="Y780" s="213" t="s">
        <v>1540</v>
      </c>
      <c r="Z780" s="213" t="s">
        <v>3492</v>
      </c>
      <c r="AA780" s="213">
        <v>55</v>
      </c>
      <c r="AB780" s="213">
        <v>121</v>
      </c>
      <c r="AC780" s="207" t="s">
        <v>1540</v>
      </c>
      <c r="AD780"/>
      <c r="AE780" s="206"/>
      <c r="AF780" s="94"/>
      <c r="AG780" s="94"/>
      <c r="AH780" s="94"/>
      <c r="AI780" s="94"/>
      <c r="AJ780" s="94"/>
      <c r="AK780" s="94"/>
      <c r="AL780" s="94"/>
      <c r="AM780" s="254"/>
      <c r="AN780" s="254"/>
      <c r="AO780" s="94"/>
      <c r="AP780" s="94"/>
      <c r="AQ780" s="94"/>
      <c r="AR780" s="94"/>
      <c r="AS780" s="207"/>
    </row>
    <row r="781" spans="13:45" ht="12.75">
      <c r="M781" s="104"/>
      <c r="O781" s="206" t="s">
        <v>3325</v>
      </c>
      <c r="P781" s="94" t="s">
        <v>2987</v>
      </c>
      <c r="Q781" s="180">
        <v>94982</v>
      </c>
      <c r="R781" s="258">
        <v>1250</v>
      </c>
      <c r="S781" s="259">
        <v>55</v>
      </c>
      <c r="T781" s="213" t="s">
        <v>4997</v>
      </c>
      <c r="U781" s="213">
        <v>4</v>
      </c>
      <c r="V781" s="213" t="s">
        <v>3443</v>
      </c>
      <c r="W781" s="213" t="s">
        <v>3572</v>
      </c>
      <c r="X781" s="213" t="s">
        <v>3490</v>
      </c>
      <c r="Y781" s="213" t="s">
        <v>1540</v>
      </c>
      <c r="Z781" s="213" t="s">
        <v>3492</v>
      </c>
      <c r="AA781" s="213">
        <v>55</v>
      </c>
      <c r="AB781" s="213">
        <v>121</v>
      </c>
      <c r="AC781" s="207" t="s">
        <v>1540</v>
      </c>
      <c r="AD781"/>
      <c r="AE781" s="206"/>
      <c r="AF781" s="94"/>
      <c r="AG781" s="94"/>
      <c r="AH781" s="94"/>
      <c r="AI781" s="94"/>
      <c r="AJ781" s="94"/>
      <c r="AK781" s="94"/>
      <c r="AL781" s="94"/>
      <c r="AM781" s="254"/>
      <c r="AN781" s="254"/>
      <c r="AO781" s="94"/>
      <c r="AP781" s="94"/>
      <c r="AQ781" s="94"/>
      <c r="AR781" s="94"/>
      <c r="AS781" s="207"/>
    </row>
    <row r="782" spans="13:45" ht="12.75">
      <c r="M782" s="104"/>
      <c r="O782" s="206" t="s">
        <v>3316</v>
      </c>
      <c r="P782" s="94" t="s">
        <v>3432</v>
      </c>
      <c r="Q782" s="180">
        <v>107665</v>
      </c>
      <c r="R782" s="258">
        <v>1600</v>
      </c>
      <c r="S782" s="259">
        <v>42</v>
      </c>
      <c r="T782" s="213" t="s">
        <v>4997</v>
      </c>
      <c r="U782" s="213">
        <v>4</v>
      </c>
      <c r="V782" s="213" t="s">
        <v>3443</v>
      </c>
      <c r="W782" s="213" t="s">
        <v>3572</v>
      </c>
      <c r="X782" s="213" t="s">
        <v>3490</v>
      </c>
      <c r="Y782" s="213" t="s">
        <v>1540</v>
      </c>
      <c r="Z782" s="213" t="s">
        <v>3493</v>
      </c>
      <c r="AA782" s="213">
        <v>42</v>
      </c>
      <c r="AB782" s="213">
        <v>88.2</v>
      </c>
      <c r="AC782" s="207" t="s">
        <v>1540</v>
      </c>
      <c r="AD782"/>
      <c r="AE782" s="206"/>
      <c r="AF782" s="94"/>
      <c r="AG782" s="94"/>
      <c r="AH782" s="94"/>
      <c r="AI782" s="94"/>
      <c r="AJ782" s="94"/>
      <c r="AK782" s="94"/>
      <c r="AL782" s="94"/>
      <c r="AM782" s="254"/>
      <c r="AN782" s="254"/>
      <c r="AO782" s="94"/>
      <c r="AP782" s="94"/>
      <c r="AQ782" s="94"/>
      <c r="AR782" s="94"/>
      <c r="AS782" s="207"/>
    </row>
    <row r="783" spans="13:45" ht="12.75">
      <c r="M783" s="104"/>
      <c r="O783" s="206" t="s">
        <v>3317</v>
      </c>
      <c r="P783" s="94" t="s">
        <v>3433</v>
      </c>
      <c r="Q783" s="180">
        <v>133487</v>
      </c>
      <c r="R783" s="258">
        <v>2000</v>
      </c>
      <c r="S783" s="259">
        <v>42</v>
      </c>
      <c r="T783" s="213" t="s">
        <v>4997</v>
      </c>
      <c r="U783" s="213">
        <v>4</v>
      </c>
      <c r="V783" s="213" t="s">
        <v>3443</v>
      </c>
      <c r="W783" s="213" t="s">
        <v>3572</v>
      </c>
      <c r="X783" s="213" t="s">
        <v>3490</v>
      </c>
      <c r="Y783" s="213" t="s">
        <v>1540</v>
      </c>
      <c r="Z783" s="213" t="s">
        <v>3493</v>
      </c>
      <c r="AA783" s="213">
        <v>42</v>
      </c>
      <c r="AB783" s="213">
        <v>88.2</v>
      </c>
      <c r="AC783" s="207" t="s">
        <v>1540</v>
      </c>
      <c r="AD783"/>
      <c r="AE783" s="206"/>
      <c r="AF783" s="94"/>
      <c r="AG783" s="94"/>
      <c r="AH783" s="94"/>
      <c r="AI783" s="94"/>
      <c r="AJ783" s="94"/>
      <c r="AK783" s="94"/>
      <c r="AL783" s="94"/>
      <c r="AM783" s="254"/>
      <c r="AN783" s="254"/>
      <c r="AO783" s="94"/>
      <c r="AP783" s="94"/>
      <c r="AQ783" s="94"/>
      <c r="AR783" s="94"/>
      <c r="AS783" s="207"/>
    </row>
    <row r="784" spans="13:45" ht="12.75">
      <c r="M784" s="104"/>
      <c r="O784" s="206" t="s">
        <v>3324</v>
      </c>
      <c r="P784" s="94" t="s">
        <v>2986</v>
      </c>
      <c r="Q784" s="180">
        <v>125439</v>
      </c>
      <c r="R784" s="258">
        <v>1600</v>
      </c>
      <c r="S784" s="259">
        <v>55</v>
      </c>
      <c r="T784" s="213" t="s">
        <v>4997</v>
      </c>
      <c r="U784" s="213">
        <v>4</v>
      </c>
      <c r="V784" s="213" t="s">
        <v>3443</v>
      </c>
      <c r="W784" s="213" t="s">
        <v>3572</v>
      </c>
      <c r="X784" s="213" t="s">
        <v>3490</v>
      </c>
      <c r="Y784" s="213" t="s">
        <v>1540</v>
      </c>
      <c r="Z784" s="213" t="s">
        <v>3492</v>
      </c>
      <c r="AA784" s="213">
        <v>55</v>
      </c>
      <c r="AB784" s="213">
        <v>121</v>
      </c>
      <c r="AC784" s="207" t="s">
        <v>1540</v>
      </c>
      <c r="AD784"/>
      <c r="AE784" s="206"/>
      <c r="AF784" s="94"/>
      <c r="AG784" s="94"/>
      <c r="AH784" s="94"/>
      <c r="AI784" s="94"/>
      <c r="AJ784" s="94"/>
      <c r="AK784" s="94"/>
      <c r="AL784" s="94"/>
      <c r="AM784" s="254"/>
      <c r="AN784" s="254"/>
      <c r="AO784" s="94"/>
      <c r="AP784" s="94"/>
      <c r="AQ784" s="94"/>
      <c r="AR784" s="94"/>
      <c r="AS784" s="207"/>
    </row>
    <row r="785" spans="13:45" ht="12.75">
      <c r="M785" s="104"/>
      <c r="O785" s="206" t="s">
        <v>3323</v>
      </c>
      <c r="P785" s="94" t="s">
        <v>2985</v>
      </c>
      <c r="Q785" s="180">
        <v>167874</v>
      </c>
      <c r="R785" s="258">
        <v>2000</v>
      </c>
      <c r="S785" s="259">
        <v>55</v>
      </c>
      <c r="T785" s="213" t="s">
        <v>4997</v>
      </c>
      <c r="U785" s="213">
        <v>4</v>
      </c>
      <c r="V785" s="213" t="s">
        <v>3443</v>
      </c>
      <c r="W785" s="213" t="s">
        <v>3572</v>
      </c>
      <c r="X785" s="213" t="s">
        <v>3490</v>
      </c>
      <c r="Y785" s="213" t="s">
        <v>1540</v>
      </c>
      <c r="Z785" s="213" t="s">
        <v>3492</v>
      </c>
      <c r="AA785" s="213">
        <v>55</v>
      </c>
      <c r="AB785" s="213">
        <v>121</v>
      </c>
      <c r="AC785" s="207" t="s">
        <v>1540</v>
      </c>
      <c r="AD785"/>
      <c r="AE785" s="206"/>
      <c r="AF785" s="94"/>
      <c r="AG785" s="94"/>
      <c r="AH785" s="94"/>
      <c r="AI785" s="94"/>
      <c r="AJ785" s="94"/>
      <c r="AK785" s="94"/>
      <c r="AL785" s="94"/>
      <c r="AM785" s="254"/>
      <c r="AN785" s="254"/>
      <c r="AO785" s="94"/>
      <c r="AP785" s="94"/>
      <c r="AQ785" s="94"/>
      <c r="AR785" s="94"/>
      <c r="AS785" s="207"/>
    </row>
    <row r="786" spans="13:45" ht="12.75">
      <c r="M786" s="104"/>
      <c r="O786" s="206" t="s">
        <v>3264</v>
      </c>
      <c r="P786" s="94" t="s">
        <v>4158</v>
      </c>
      <c r="Q786" s="180">
        <v>100250</v>
      </c>
      <c r="R786" s="258">
        <v>1250</v>
      </c>
      <c r="S786" s="259">
        <v>75</v>
      </c>
      <c r="T786" s="213" t="s">
        <v>5000</v>
      </c>
      <c r="U786" s="213">
        <v>4</v>
      </c>
      <c r="V786" s="213" t="s">
        <v>3439</v>
      </c>
      <c r="W786" s="213" t="s">
        <v>3361</v>
      </c>
      <c r="X786" s="213" t="s">
        <v>3490</v>
      </c>
      <c r="Y786" s="213" t="s">
        <v>1540</v>
      </c>
      <c r="Z786" s="213" t="s">
        <v>1105</v>
      </c>
      <c r="AA786" s="213">
        <v>75</v>
      </c>
      <c r="AB786" s="213">
        <v>165</v>
      </c>
      <c r="AC786" s="207" t="s">
        <v>1540</v>
      </c>
      <c r="AD786"/>
      <c r="AE786" s="206"/>
      <c r="AF786" s="94"/>
      <c r="AG786" s="94"/>
      <c r="AH786" s="94"/>
      <c r="AI786" s="94"/>
      <c r="AJ786" s="94"/>
      <c r="AK786" s="94"/>
      <c r="AL786" s="94"/>
      <c r="AM786" s="254"/>
      <c r="AN786" s="254"/>
      <c r="AO786" s="94"/>
      <c r="AP786" s="94"/>
      <c r="AQ786" s="94"/>
      <c r="AR786" s="94"/>
      <c r="AS786" s="207"/>
    </row>
    <row r="787" spans="13:45" ht="12.75">
      <c r="M787" s="104"/>
      <c r="O787" s="206" t="s">
        <v>3265</v>
      </c>
      <c r="P787" s="94" t="s">
        <v>4159</v>
      </c>
      <c r="Q787" s="180">
        <v>128956</v>
      </c>
      <c r="R787" s="258">
        <v>1600</v>
      </c>
      <c r="S787" s="259">
        <v>75</v>
      </c>
      <c r="T787" s="213" t="s">
        <v>5000</v>
      </c>
      <c r="U787" s="213">
        <v>4</v>
      </c>
      <c r="V787" s="213" t="s">
        <v>3439</v>
      </c>
      <c r="W787" s="213" t="s">
        <v>3361</v>
      </c>
      <c r="X787" s="213" t="s">
        <v>3490</v>
      </c>
      <c r="Y787" s="213" t="s">
        <v>1540</v>
      </c>
      <c r="Z787" s="213" t="s">
        <v>1105</v>
      </c>
      <c r="AA787" s="213">
        <v>75</v>
      </c>
      <c r="AB787" s="213">
        <v>165</v>
      </c>
      <c r="AC787" s="207" t="s">
        <v>1540</v>
      </c>
      <c r="AD787"/>
      <c r="AE787" s="206"/>
      <c r="AF787" s="94"/>
      <c r="AG787" s="94"/>
      <c r="AH787" s="94"/>
      <c r="AI787" s="94"/>
      <c r="AJ787" s="94"/>
      <c r="AK787" s="94"/>
      <c r="AL787" s="94"/>
      <c r="AM787" s="254"/>
      <c r="AN787" s="254"/>
      <c r="AO787" s="94"/>
      <c r="AP787" s="94"/>
      <c r="AQ787" s="94"/>
      <c r="AR787" s="94"/>
      <c r="AS787" s="207"/>
    </row>
    <row r="788" spans="13:45" ht="12.75">
      <c r="M788" s="104"/>
      <c r="O788" s="206" t="s">
        <v>3266</v>
      </c>
      <c r="P788" s="94" t="s">
        <v>4160</v>
      </c>
      <c r="Q788" s="180">
        <v>138367</v>
      </c>
      <c r="R788" s="258">
        <v>2000</v>
      </c>
      <c r="S788" s="259">
        <v>75</v>
      </c>
      <c r="T788" s="213" t="s">
        <v>5000</v>
      </c>
      <c r="U788" s="213">
        <v>4</v>
      </c>
      <c r="V788" s="213" t="s">
        <v>3439</v>
      </c>
      <c r="W788" s="213" t="s">
        <v>3361</v>
      </c>
      <c r="X788" s="213" t="s">
        <v>3490</v>
      </c>
      <c r="Y788" s="213" t="s">
        <v>1540</v>
      </c>
      <c r="Z788" s="213" t="s">
        <v>1105</v>
      </c>
      <c r="AA788" s="213">
        <v>75</v>
      </c>
      <c r="AB788" s="213">
        <v>165</v>
      </c>
      <c r="AC788" s="207" t="s">
        <v>1540</v>
      </c>
      <c r="AD788"/>
      <c r="AE788" s="206"/>
      <c r="AF788" s="94"/>
      <c r="AG788" s="94"/>
      <c r="AH788" s="94"/>
      <c r="AI788" s="94"/>
      <c r="AJ788" s="94"/>
      <c r="AK788" s="94"/>
      <c r="AL788" s="94"/>
      <c r="AM788" s="254"/>
      <c r="AN788" s="254"/>
      <c r="AO788" s="94"/>
      <c r="AP788" s="94"/>
      <c r="AQ788" s="94"/>
      <c r="AR788" s="94"/>
      <c r="AS788" s="207"/>
    </row>
    <row r="789" spans="13:45" ht="12.75">
      <c r="M789" s="104"/>
      <c r="O789" s="206" t="s">
        <v>3262</v>
      </c>
      <c r="P789" s="94" t="s">
        <v>4156</v>
      </c>
      <c r="Q789" s="180">
        <v>157285</v>
      </c>
      <c r="R789" s="258">
        <v>2500</v>
      </c>
      <c r="S789" s="259">
        <v>65</v>
      </c>
      <c r="T789" s="213" t="s">
        <v>5000</v>
      </c>
      <c r="U789" s="213">
        <v>4</v>
      </c>
      <c r="V789" s="213" t="s">
        <v>3439</v>
      </c>
      <c r="W789" s="213" t="s">
        <v>3361</v>
      </c>
      <c r="X789" s="213" t="s">
        <v>3490</v>
      </c>
      <c r="Y789" s="213" t="s">
        <v>1540</v>
      </c>
      <c r="Z789" s="213" t="s">
        <v>1106</v>
      </c>
      <c r="AA789" s="213">
        <v>65</v>
      </c>
      <c r="AB789" s="213">
        <v>143</v>
      </c>
      <c r="AC789" s="207" t="s">
        <v>1540</v>
      </c>
      <c r="AD789"/>
      <c r="AE789" s="206"/>
      <c r="AF789" s="94"/>
      <c r="AG789" s="94"/>
      <c r="AH789" s="94"/>
      <c r="AI789" s="94"/>
      <c r="AJ789" s="94"/>
      <c r="AK789" s="94"/>
      <c r="AL789" s="94"/>
      <c r="AM789" s="254"/>
      <c r="AN789" s="254"/>
      <c r="AO789" s="94"/>
      <c r="AP789" s="94"/>
      <c r="AQ789" s="94"/>
      <c r="AR789" s="94"/>
      <c r="AS789" s="207"/>
    </row>
    <row r="790" spans="13:45" ht="12.75">
      <c r="M790" s="104"/>
      <c r="O790" s="206" t="s">
        <v>3267</v>
      </c>
      <c r="P790" s="94" t="s">
        <v>4161</v>
      </c>
      <c r="Q790" s="180">
        <v>183031</v>
      </c>
      <c r="R790" s="258">
        <v>2500</v>
      </c>
      <c r="S790" s="259">
        <v>75</v>
      </c>
      <c r="T790" s="213" t="s">
        <v>5000</v>
      </c>
      <c r="U790" s="213">
        <v>4</v>
      </c>
      <c r="V790" s="213" t="s">
        <v>3439</v>
      </c>
      <c r="W790" s="213" t="s">
        <v>3361</v>
      </c>
      <c r="X790" s="213" t="s">
        <v>3490</v>
      </c>
      <c r="Y790" s="213" t="s">
        <v>1540</v>
      </c>
      <c r="Z790" s="213" t="s">
        <v>1105</v>
      </c>
      <c r="AA790" s="213">
        <v>75</v>
      </c>
      <c r="AB790" s="213">
        <v>165</v>
      </c>
      <c r="AC790" s="207" t="s">
        <v>1540</v>
      </c>
      <c r="AD790"/>
      <c r="AE790" s="206"/>
      <c r="AF790" s="94"/>
      <c r="AG790" s="94"/>
      <c r="AH790" s="94"/>
      <c r="AI790" s="94"/>
      <c r="AJ790" s="94"/>
      <c r="AK790" s="94"/>
      <c r="AL790" s="94"/>
      <c r="AM790" s="254"/>
      <c r="AN790" s="254"/>
      <c r="AO790" s="94"/>
      <c r="AP790" s="94"/>
      <c r="AQ790" s="94"/>
      <c r="AR790" s="94"/>
      <c r="AS790" s="207"/>
    </row>
    <row r="791" spans="13:45" ht="12.75">
      <c r="M791" s="104"/>
      <c r="O791" s="206" t="s">
        <v>3263</v>
      </c>
      <c r="P791" s="94" t="s">
        <v>4157</v>
      </c>
      <c r="Q791" s="180">
        <v>179552</v>
      </c>
      <c r="R791" s="258">
        <v>3200</v>
      </c>
      <c r="S791" s="259">
        <v>65</v>
      </c>
      <c r="T791" s="213" t="s">
        <v>5000</v>
      </c>
      <c r="U791" s="213">
        <v>4</v>
      </c>
      <c r="V791" s="213" t="s">
        <v>3439</v>
      </c>
      <c r="W791" s="213" t="s">
        <v>3361</v>
      </c>
      <c r="X791" s="213" t="s">
        <v>3490</v>
      </c>
      <c r="Y791" s="213" t="s">
        <v>1540</v>
      </c>
      <c r="Z791" s="213" t="s">
        <v>1106</v>
      </c>
      <c r="AA791" s="213">
        <v>65</v>
      </c>
      <c r="AB791" s="213">
        <v>143</v>
      </c>
      <c r="AC791" s="207" t="s">
        <v>1540</v>
      </c>
      <c r="AD791"/>
      <c r="AE791" s="206"/>
      <c r="AF791" s="94"/>
      <c r="AG791" s="94"/>
      <c r="AH791" s="94"/>
      <c r="AI791" s="94"/>
      <c r="AJ791" s="94"/>
      <c r="AK791" s="94"/>
      <c r="AL791" s="94"/>
      <c r="AM791" s="254"/>
      <c r="AN791" s="254"/>
      <c r="AO791" s="94"/>
      <c r="AP791" s="94"/>
      <c r="AQ791" s="94"/>
      <c r="AR791" s="94"/>
      <c r="AS791" s="207"/>
    </row>
    <row r="792" spans="13:45" ht="12.75">
      <c r="M792" s="104"/>
      <c r="O792" s="206" t="s">
        <v>3268</v>
      </c>
      <c r="P792" s="94" t="s">
        <v>4162</v>
      </c>
      <c r="Q792" s="180">
        <v>252320</v>
      </c>
      <c r="R792" s="258">
        <v>3200</v>
      </c>
      <c r="S792" s="259">
        <v>75</v>
      </c>
      <c r="T792" s="213" t="s">
        <v>5000</v>
      </c>
      <c r="U792" s="213">
        <v>4</v>
      </c>
      <c r="V792" s="213" t="s">
        <v>3439</v>
      </c>
      <c r="W792" s="213" t="s">
        <v>3361</v>
      </c>
      <c r="X792" s="213" t="s">
        <v>3490</v>
      </c>
      <c r="Y792" s="213" t="s">
        <v>1540</v>
      </c>
      <c r="Z792" s="213" t="s">
        <v>1105</v>
      </c>
      <c r="AA792" s="213">
        <v>75</v>
      </c>
      <c r="AB792" s="213">
        <v>165</v>
      </c>
      <c r="AC792" s="207" t="s">
        <v>1540</v>
      </c>
      <c r="AD792"/>
      <c r="AE792" s="206"/>
      <c r="AF792" s="94"/>
      <c r="AG792" s="94"/>
      <c r="AH792" s="94"/>
      <c r="AI792" s="94"/>
      <c r="AJ792" s="94"/>
      <c r="AK792" s="94"/>
      <c r="AL792" s="94"/>
      <c r="AM792" s="254"/>
      <c r="AN792" s="254"/>
      <c r="AO792" s="94"/>
      <c r="AP792" s="94"/>
      <c r="AQ792" s="94"/>
      <c r="AR792" s="94"/>
      <c r="AS792" s="207"/>
    </row>
    <row r="793" spans="13:45" ht="12.75">
      <c r="M793" s="104"/>
      <c r="O793" s="206" t="s">
        <v>3337</v>
      </c>
      <c r="P793" s="94" t="s">
        <v>2063</v>
      </c>
      <c r="Q793" s="180">
        <v>101254</v>
      </c>
      <c r="R793" s="258">
        <v>1250</v>
      </c>
      <c r="S793" s="259">
        <v>75</v>
      </c>
      <c r="T793" s="213" t="s">
        <v>5000</v>
      </c>
      <c r="U793" s="213">
        <v>4</v>
      </c>
      <c r="V793" s="213" t="s">
        <v>3443</v>
      </c>
      <c r="W793" s="213" t="s">
        <v>3572</v>
      </c>
      <c r="X793" s="213" t="s">
        <v>3490</v>
      </c>
      <c r="Y793" s="213" t="s">
        <v>1540</v>
      </c>
      <c r="Z793" s="213" t="s">
        <v>1105</v>
      </c>
      <c r="AA793" s="213">
        <v>75</v>
      </c>
      <c r="AB793" s="213">
        <v>165</v>
      </c>
      <c r="AC793" s="207" t="s">
        <v>1540</v>
      </c>
      <c r="AD793"/>
      <c r="AE793" s="206"/>
      <c r="AF793" s="94"/>
      <c r="AG793" s="94"/>
      <c r="AH793" s="94"/>
      <c r="AI793" s="94"/>
      <c r="AJ793" s="94"/>
      <c r="AK793" s="94"/>
      <c r="AL793" s="94"/>
      <c r="AM793" s="254"/>
      <c r="AN793" s="254"/>
      <c r="AO793" s="94"/>
      <c r="AP793" s="94"/>
      <c r="AQ793" s="94"/>
      <c r="AR793" s="94"/>
      <c r="AS793" s="207"/>
    </row>
    <row r="794" spans="13:45" ht="12.75">
      <c r="M794" s="104"/>
      <c r="O794" s="206" t="s">
        <v>3338</v>
      </c>
      <c r="P794" s="94" t="s">
        <v>2064</v>
      </c>
      <c r="Q794" s="180">
        <v>134168</v>
      </c>
      <c r="R794" s="258">
        <v>1600</v>
      </c>
      <c r="S794" s="259">
        <v>75</v>
      </c>
      <c r="T794" s="213" t="s">
        <v>5000</v>
      </c>
      <c r="U794" s="213">
        <v>4</v>
      </c>
      <c r="V794" s="213" t="s">
        <v>3443</v>
      </c>
      <c r="W794" s="213" t="s">
        <v>3572</v>
      </c>
      <c r="X794" s="213" t="s">
        <v>3490</v>
      </c>
      <c r="Y794" s="213" t="s">
        <v>1540</v>
      </c>
      <c r="Z794" s="213" t="s">
        <v>1105</v>
      </c>
      <c r="AA794" s="213">
        <v>75</v>
      </c>
      <c r="AB794" s="213">
        <v>165</v>
      </c>
      <c r="AC794" s="207" t="s">
        <v>1540</v>
      </c>
      <c r="AD794"/>
      <c r="AE794" s="206"/>
      <c r="AF794" s="94"/>
      <c r="AG794" s="94"/>
      <c r="AH794" s="94"/>
      <c r="AI794" s="94"/>
      <c r="AJ794" s="94"/>
      <c r="AK794" s="94"/>
      <c r="AL794" s="94"/>
      <c r="AM794" s="254"/>
      <c r="AN794" s="254"/>
      <c r="AO794" s="94"/>
      <c r="AP794" s="94"/>
      <c r="AQ794" s="94"/>
      <c r="AR794" s="94"/>
      <c r="AS794" s="207"/>
    </row>
    <row r="795" spans="13:45" ht="12.75">
      <c r="M795" s="104"/>
      <c r="O795" s="206" t="s">
        <v>3339</v>
      </c>
      <c r="P795" s="94" t="s">
        <v>2065</v>
      </c>
      <c r="Q795" s="180">
        <v>165997</v>
      </c>
      <c r="R795" s="258">
        <v>2000</v>
      </c>
      <c r="S795" s="259">
        <v>75</v>
      </c>
      <c r="T795" s="213" t="s">
        <v>5000</v>
      </c>
      <c r="U795" s="213">
        <v>4</v>
      </c>
      <c r="V795" s="213" t="s">
        <v>3443</v>
      </c>
      <c r="W795" s="213" t="s">
        <v>3572</v>
      </c>
      <c r="X795" s="213" t="s">
        <v>3490</v>
      </c>
      <c r="Y795" s="213" t="s">
        <v>1540</v>
      </c>
      <c r="Z795" s="213" t="s">
        <v>1105</v>
      </c>
      <c r="AA795" s="213">
        <v>75</v>
      </c>
      <c r="AB795" s="213">
        <v>165</v>
      </c>
      <c r="AC795" s="207" t="s">
        <v>1540</v>
      </c>
      <c r="AD795"/>
      <c r="AE795" s="206"/>
      <c r="AF795" s="94"/>
      <c r="AG795" s="94"/>
      <c r="AH795" s="94"/>
      <c r="AI795" s="94"/>
      <c r="AJ795" s="94"/>
      <c r="AK795" s="94"/>
      <c r="AL795" s="94"/>
      <c r="AM795" s="254"/>
      <c r="AN795" s="254"/>
      <c r="AO795" s="94"/>
      <c r="AP795" s="94"/>
      <c r="AQ795" s="94"/>
      <c r="AR795" s="94"/>
      <c r="AS795" s="207"/>
    </row>
    <row r="796" spans="13:45" ht="12.75">
      <c r="M796" s="104"/>
      <c r="O796" s="206" t="s">
        <v>3326</v>
      </c>
      <c r="P796" s="94" t="s">
        <v>2988</v>
      </c>
      <c r="Q796" s="180">
        <v>188590</v>
      </c>
      <c r="R796" s="258">
        <v>2500</v>
      </c>
      <c r="S796" s="259">
        <v>65</v>
      </c>
      <c r="T796" s="213" t="s">
        <v>5000</v>
      </c>
      <c r="U796" s="213">
        <v>4</v>
      </c>
      <c r="V796" s="213" t="s">
        <v>3443</v>
      </c>
      <c r="W796" s="213" t="s">
        <v>3572</v>
      </c>
      <c r="X796" s="213" t="s">
        <v>3490</v>
      </c>
      <c r="Y796" s="213" t="s">
        <v>1540</v>
      </c>
      <c r="Z796" s="213" t="s">
        <v>1106</v>
      </c>
      <c r="AA796" s="213">
        <v>65</v>
      </c>
      <c r="AB796" s="213">
        <v>143</v>
      </c>
      <c r="AC796" s="207" t="s">
        <v>1540</v>
      </c>
      <c r="AD796"/>
      <c r="AE796" s="206"/>
      <c r="AF796" s="94"/>
      <c r="AG796" s="94"/>
      <c r="AH796" s="94"/>
      <c r="AI796" s="94"/>
      <c r="AJ796" s="94"/>
      <c r="AK796" s="94"/>
      <c r="AL796" s="94"/>
      <c r="AM796" s="254"/>
      <c r="AN796" s="254"/>
      <c r="AO796" s="94"/>
      <c r="AP796" s="94"/>
      <c r="AQ796" s="94"/>
      <c r="AR796" s="94"/>
      <c r="AS796" s="207"/>
    </row>
    <row r="797" spans="13:45" ht="12.75">
      <c r="M797" s="104"/>
      <c r="O797" s="206" t="s">
        <v>3335</v>
      </c>
      <c r="P797" s="94" t="s">
        <v>2061</v>
      </c>
      <c r="Q797" s="180">
        <v>225940</v>
      </c>
      <c r="R797" s="258">
        <v>2500</v>
      </c>
      <c r="S797" s="259">
        <v>75</v>
      </c>
      <c r="T797" s="213" t="s">
        <v>5000</v>
      </c>
      <c r="U797" s="213">
        <v>4</v>
      </c>
      <c r="V797" s="213" t="s">
        <v>3443</v>
      </c>
      <c r="W797" s="213" t="s">
        <v>3572</v>
      </c>
      <c r="X797" s="213" t="s">
        <v>3490</v>
      </c>
      <c r="Y797" s="213" t="s">
        <v>1540</v>
      </c>
      <c r="Z797" s="213" t="s">
        <v>1105</v>
      </c>
      <c r="AA797" s="213">
        <v>75</v>
      </c>
      <c r="AB797" s="213">
        <v>165</v>
      </c>
      <c r="AC797" s="207" t="s">
        <v>1540</v>
      </c>
      <c r="AD797"/>
      <c r="AE797" s="206"/>
      <c r="AF797" s="94"/>
      <c r="AG797" s="94"/>
      <c r="AH797" s="94"/>
      <c r="AI797" s="94"/>
      <c r="AJ797" s="94"/>
      <c r="AK797" s="94"/>
      <c r="AL797" s="94"/>
      <c r="AM797" s="254"/>
      <c r="AN797" s="254"/>
      <c r="AO797" s="94"/>
      <c r="AP797" s="94"/>
      <c r="AQ797" s="94"/>
      <c r="AR797" s="94"/>
      <c r="AS797" s="207"/>
    </row>
    <row r="798" spans="13:45" ht="12.75">
      <c r="M798" s="104"/>
      <c r="O798" s="206" t="s">
        <v>3327</v>
      </c>
      <c r="P798" s="94" t="s">
        <v>2989</v>
      </c>
      <c r="Q798" s="180">
        <v>255086</v>
      </c>
      <c r="R798" s="258">
        <v>3200</v>
      </c>
      <c r="S798" s="259">
        <v>65</v>
      </c>
      <c r="T798" s="213" t="s">
        <v>5000</v>
      </c>
      <c r="U798" s="213">
        <v>4</v>
      </c>
      <c r="V798" s="213" t="s">
        <v>3443</v>
      </c>
      <c r="W798" s="213" t="s">
        <v>3572</v>
      </c>
      <c r="X798" s="213" t="s">
        <v>3490</v>
      </c>
      <c r="Y798" s="213" t="s">
        <v>1540</v>
      </c>
      <c r="Z798" s="213" t="s">
        <v>1106</v>
      </c>
      <c r="AA798" s="213">
        <v>65</v>
      </c>
      <c r="AB798" s="213">
        <v>143</v>
      </c>
      <c r="AC798" s="207" t="s">
        <v>1540</v>
      </c>
      <c r="AD798"/>
      <c r="AE798" s="206"/>
      <c r="AF798" s="94"/>
      <c r="AG798" s="94"/>
      <c r="AH798" s="94"/>
      <c r="AI798" s="94"/>
      <c r="AJ798" s="94"/>
      <c r="AK798" s="94"/>
      <c r="AL798" s="94"/>
      <c r="AM798" s="254"/>
      <c r="AN798" s="254"/>
      <c r="AO798" s="94"/>
      <c r="AP798" s="94"/>
      <c r="AQ798" s="94"/>
      <c r="AR798" s="94"/>
      <c r="AS798" s="207"/>
    </row>
    <row r="799" spans="13:45" ht="12.75">
      <c r="M799" s="104"/>
      <c r="O799" s="206" t="s">
        <v>3336</v>
      </c>
      <c r="P799" s="94" t="s">
        <v>2062</v>
      </c>
      <c r="Q799" s="180">
        <v>256989</v>
      </c>
      <c r="R799" s="258">
        <v>3200</v>
      </c>
      <c r="S799" s="259">
        <v>75</v>
      </c>
      <c r="T799" s="213" t="s">
        <v>5000</v>
      </c>
      <c r="U799" s="213">
        <v>4</v>
      </c>
      <c r="V799" s="213" t="s">
        <v>3443</v>
      </c>
      <c r="W799" s="213" t="s">
        <v>3572</v>
      </c>
      <c r="X799" s="213" t="s">
        <v>3490</v>
      </c>
      <c r="Y799" s="213" t="s">
        <v>1540</v>
      </c>
      <c r="Z799" s="213" t="s">
        <v>1105</v>
      </c>
      <c r="AA799" s="213">
        <v>75</v>
      </c>
      <c r="AB799" s="213">
        <v>165</v>
      </c>
      <c r="AC799" s="207" t="s">
        <v>1540</v>
      </c>
      <c r="AD799"/>
      <c r="AE799" s="206"/>
      <c r="AF799" s="94"/>
      <c r="AG799" s="94"/>
      <c r="AH799" s="94"/>
      <c r="AI799" s="94"/>
      <c r="AJ799" s="94"/>
      <c r="AK799" s="94"/>
      <c r="AL799" s="94"/>
      <c r="AM799" s="254"/>
      <c r="AN799" s="254"/>
      <c r="AO799" s="94"/>
      <c r="AP799" s="94"/>
      <c r="AQ799" s="94"/>
      <c r="AR799" s="94"/>
      <c r="AS799" s="207"/>
    </row>
    <row r="800" spans="13:45" ht="12.75">
      <c r="M800" s="104"/>
      <c r="O800" s="206" t="s">
        <v>3270</v>
      </c>
      <c r="P800" s="94" t="s">
        <v>4164</v>
      </c>
      <c r="Q800" s="180">
        <v>279614</v>
      </c>
      <c r="R800" s="258">
        <v>3200</v>
      </c>
      <c r="S800" s="259">
        <v>100</v>
      </c>
      <c r="T800" s="213" t="s">
        <v>5010</v>
      </c>
      <c r="U800" s="213">
        <v>4</v>
      </c>
      <c r="V800" s="213" t="s">
        <v>3439</v>
      </c>
      <c r="W800" s="213" t="s">
        <v>3361</v>
      </c>
      <c r="X800" s="213" t="s">
        <v>3490</v>
      </c>
      <c r="Y800" s="213" t="s">
        <v>1540</v>
      </c>
      <c r="Z800" s="213" t="s">
        <v>1107</v>
      </c>
      <c r="AA800" s="213">
        <v>100</v>
      </c>
      <c r="AB800" s="213">
        <v>220</v>
      </c>
      <c r="AC800" s="207" t="s">
        <v>1540</v>
      </c>
      <c r="AD800"/>
      <c r="AE800" s="206"/>
      <c r="AF800" s="94"/>
      <c r="AG800" s="94"/>
      <c r="AH800" s="94"/>
      <c r="AI800" s="94"/>
      <c r="AJ800" s="94"/>
      <c r="AK800" s="94"/>
      <c r="AL800" s="94"/>
      <c r="AM800" s="254"/>
      <c r="AN800" s="254"/>
      <c r="AO800" s="94"/>
      <c r="AP800" s="94"/>
      <c r="AQ800" s="94"/>
      <c r="AR800" s="94"/>
      <c r="AS800" s="207"/>
    </row>
    <row r="801" spans="13:45" ht="12.75">
      <c r="M801" s="104"/>
      <c r="O801" s="206" t="s">
        <v>3269</v>
      </c>
      <c r="P801" s="94" t="s">
        <v>4163</v>
      </c>
      <c r="Q801" s="180">
        <v>278569</v>
      </c>
      <c r="R801" s="258">
        <v>4000</v>
      </c>
      <c r="S801" s="259">
        <v>75</v>
      </c>
      <c r="T801" s="213" t="s">
        <v>5010</v>
      </c>
      <c r="U801" s="213">
        <v>4</v>
      </c>
      <c r="V801" s="213" t="s">
        <v>3439</v>
      </c>
      <c r="W801" s="213" t="s">
        <v>3361</v>
      </c>
      <c r="X801" s="213" t="s">
        <v>3490</v>
      </c>
      <c r="Y801" s="213" t="s">
        <v>1540</v>
      </c>
      <c r="Z801" s="213" t="s">
        <v>1108</v>
      </c>
      <c r="AA801" s="213">
        <v>75</v>
      </c>
      <c r="AB801" s="213">
        <v>165</v>
      </c>
      <c r="AC801" s="207" t="s">
        <v>1540</v>
      </c>
      <c r="AD801"/>
      <c r="AE801" s="206"/>
      <c r="AF801" s="94"/>
      <c r="AG801" s="94"/>
      <c r="AH801" s="94"/>
      <c r="AI801" s="94"/>
      <c r="AJ801" s="94"/>
      <c r="AK801" s="94"/>
      <c r="AL801" s="94"/>
      <c r="AM801" s="254"/>
      <c r="AN801" s="254"/>
      <c r="AO801" s="94"/>
      <c r="AP801" s="94"/>
      <c r="AQ801" s="94"/>
      <c r="AR801" s="94"/>
      <c r="AS801" s="207"/>
    </row>
    <row r="802" spans="13:45" ht="12.75">
      <c r="M802" s="104"/>
      <c r="O802" s="206" t="s">
        <v>3271</v>
      </c>
      <c r="P802" s="94" t="s">
        <v>4165</v>
      </c>
      <c r="Q802" s="180">
        <v>315184</v>
      </c>
      <c r="R802" s="258">
        <v>4000</v>
      </c>
      <c r="S802" s="259">
        <v>100</v>
      </c>
      <c r="T802" s="213" t="s">
        <v>5010</v>
      </c>
      <c r="U802" s="213">
        <v>4</v>
      </c>
      <c r="V802" s="213" t="s">
        <v>3439</v>
      </c>
      <c r="W802" s="213" t="s">
        <v>3361</v>
      </c>
      <c r="X802" s="213" t="s">
        <v>3490</v>
      </c>
      <c r="Y802" s="213" t="s">
        <v>1540</v>
      </c>
      <c r="Z802" s="213" t="s">
        <v>1107</v>
      </c>
      <c r="AA802" s="213">
        <v>100</v>
      </c>
      <c r="AB802" s="213">
        <v>220</v>
      </c>
      <c r="AC802" s="207" t="s">
        <v>1540</v>
      </c>
      <c r="AD802"/>
      <c r="AE802" s="206"/>
      <c r="AF802" s="94"/>
      <c r="AG802" s="94"/>
      <c r="AH802" s="94"/>
      <c r="AI802" s="94"/>
      <c r="AJ802" s="94"/>
      <c r="AK802" s="94"/>
      <c r="AL802" s="94"/>
      <c r="AM802" s="254"/>
      <c r="AN802" s="254"/>
      <c r="AO802" s="94"/>
      <c r="AP802" s="94"/>
      <c r="AQ802" s="94"/>
      <c r="AR802" s="94"/>
      <c r="AS802" s="207"/>
    </row>
    <row r="803" spans="13:45" ht="12.75">
      <c r="M803" s="104"/>
      <c r="O803" s="206" t="s">
        <v>3342</v>
      </c>
      <c r="P803" s="94" t="s">
        <v>2068</v>
      </c>
      <c r="Q803" s="180">
        <v>290285</v>
      </c>
      <c r="R803" s="258">
        <v>3200</v>
      </c>
      <c r="S803" s="259">
        <v>100</v>
      </c>
      <c r="T803" s="213" t="s">
        <v>5010</v>
      </c>
      <c r="U803" s="213">
        <v>4</v>
      </c>
      <c r="V803" s="213" t="s">
        <v>3443</v>
      </c>
      <c r="W803" s="213" t="s">
        <v>3572</v>
      </c>
      <c r="X803" s="213" t="s">
        <v>3490</v>
      </c>
      <c r="Y803" s="213" t="s">
        <v>1540</v>
      </c>
      <c r="Z803" s="213" t="s">
        <v>1107</v>
      </c>
      <c r="AA803" s="213">
        <v>100</v>
      </c>
      <c r="AB803" s="213">
        <v>220</v>
      </c>
      <c r="AC803" s="207" t="s">
        <v>1540</v>
      </c>
      <c r="AD803"/>
      <c r="AE803" s="206"/>
      <c r="AF803" s="94"/>
      <c r="AG803" s="94"/>
      <c r="AH803" s="94"/>
      <c r="AI803" s="94"/>
      <c r="AJ803" s="94"/>
      <c r="AK803" s="94"/>
      <c r="AL803" s="94"/>
      <c r="AM803" s="254"/>
      <c r="AN803" s="254"/>
      <c r="AO803" s="94"/>
      <c r="AP803" s="94"/>
      <c r="AQ803" s="94"/>
      <c r="AR803" s="94"/>
      <c r="AS803" s="207"/>
    </row>
    <row r="804" spans="13:45" ht="12.75">
      <c r="M804" s="104"/>
      <c r="O804" s="206" t="s">
        <v>3273</v>
      </c>
      <c r="P804" s="94" t="s">
        <v>4167</v>
      </c>
      <c r="Q804" s="180">
        <v>749954</v>
      </c>
      <c r="R804" s="258">
        <v>6300</v>
      </c>
      <c r="S804" s="259">
        <v>100</v>
      </c>
      <c r="T804" s="213" t="s">
        <v>5012</v>
      </c>
      <c r="U804" s="213">
        <v>4</v>
      </c>
      <c r="V804" s="213" t="s">
        <v>3439</v>
      </c>
      <c r="W804" s="213" t="s">
        <v>3361</v>
      </c>
      <c r="X804" s="213" t="s">
        <v>3490</v>
      </c>
      <c r="Y804" s="213" t="s">
        <v>1540</v>
      </c>
      <c r="Z804" s="213" t="s">
        <v>1109</v>
      </c>
      <c r="AA804" s="213">
        <v>100</v>
      </c>
      <c r="AB804" s="213">
        <v>220</v>
      </c>
      <c r="AC804" s="207" t="s">
        <v>1540</v>
      </c>
      <c r="AD804"/>
      <c r="AE804" s="206"/>
      <c r="AF804" s="94"/>
      <c r="AG804" s="94"/>
      <c r="AH804" s="94"/>
      <c r="AI804" s="94"/>
      <c r="AJ804" s="94"/>
      <c r="AK804" s="94"/>
      <c r="AL804" s="94"/>
      <c r="AM804" s="254"/>
      <c r="AN804" s="254"/>
      <c r="AO804" s="94"/>
      <c r="AP804" s="94"/>
      <c r="AQ804" s="94"/>
      <c r="AR804" s="94"/>
      <c r="AS804" s="207"/>
    </row>
    <row r="805" spans="13:45" ht="12.75">
      <c r="M805" s="104"/>
      <c r="O805" s="206" t="s">
        <v>3341</v>
      </c>
      <c r="P805" s="94" t="s">
        <v>2067</v>
      </c>
      <c r="Q805" s="180">
        <v>340592</v>
      </c>
      <c r="R805" s="258">
        <v>4000</v>
      </c>
      <c r="S805" s="259">
        <v>75</v>
      </c>
      <c r="T805" s="213" t="s">
        <v>5010</v>
      </c>
      <c r="U805" s="213">
        <v>4</v>
      </c>
      <c r="V805" s="213" t="s">
        <v>3443</v>
      </c>
      <c r="W805" s="213" t="s">
        <v>3572</v>
      </c>
      <c r="X805" s="213" t="s">
        <v>3490</v>
      </c>
      <c r="Y805" s="213" t="s">
        <v>1540</v>
      </c>
      <c r="Z805" s="213" t="s">
        <v>1108</v>
      </c>
      <c r="AA805" s="213">
        <v>75</v>
      </c>
      <c r="AB805" s="213">
        <v>165</v>
      </c>
      <c r="AC805" s="207" t="s">
        <v>1540</v>
      </c>
      <c r="AD805"/>
      <c r="AE805" s="206"/>
      <c r="AF805" s="94"/>
      <c r="AG805" s="94"/>
      <c r="AH805" s="94"/>
      <c r="AI805" s="94"/>
      <c r="AJ805" s="94"/>
      <c r="AK805" s="94"/>
      <c r="AL805" s="94"/>
      <c r="AM805" s="254"/>
      <c r="AN805" s="254"/>
      <c r="AO805" s="94"/>
      <c r="AP805" s="94"/>
      <c r="AQ805" s="94"/>
      <c r="AR805" s="94"/>
      <c r="AS805" s="207"/>
    </row>
    <row r="806" spans="13:45" ht="12.75">
      <c r="M806" s="104"/>
      <c r="O806" s="206" t="s">
        <v>3343</v>
      </c>
      <c r="P806" s="94" t="s">
        <v>2069</v>
      </c>
      <c r="Q806" s="180">
        <v>375962</v>
      </c>
      <c r="R806" s="258">
        <v>4000</v>
      </c>
      <c r="S806" s="259">
        <v>100</v>
      </c>
      <c r="T806" s="213" t="s">
        <v>5010</v>
      </c>
      <c r="U806" s="213">
        <v>4</v>
      </c>
      <c r="V806" s="213" t="s">
        <v>3443</v>
      </c>
      <c r="W806" s="213" t="s">
        <v>3572</v>
      </c>
      <c r="X806" s="213" t="s">
        <v>3490</v>
      </c>
      <c r="Y806" s="213" t="s">
        <v>1540</v>
      </c>
      <c r="Z806" s="213" t="s">
        <v>1107</v>
      </c>
      <c r="AA806" s="213">
        <v>100</v>
      </c>
      <c r="AB806" s="213">
        <v>220</v>
      </c>
      <c r="AC806" s="207" t="s">
        <v>1540</v>
      </c>
      <c r="AD806"/>
      <c r="AE806" s="206"/>
      <c r="AF806" s="94"/>
      <c r="AG806" s="94"/>
      <c r="AH806" s="94"/>
      <c r="AI806" s="94"/>
      <c r="AJ806" s="94"/>
      <c r="AK806" s="94"/>
      <c r="AL806" s="94"/>
      <c r="AM806" s="254"/>
      <c r="AN806" s="254"/>
      <c r="AO806" s="94"/>
      <c r="AP806" s="94"/>
      <c r="AQ806" s="94"/>
      <c r="AR806" s="94"/>
      <c r="AS806" s="207"/>
    </row>
    <row r="807" spans="13:45" ht="12.75">
      <c r="M807" s="104"/>
      <c r="O807" s="206" t="s">
        <v>3272</v>
      </c>
      <c r="P807" s="94" t="s">
        <v>4166</v>
      </c>
      <c r="Q807" s="180">
        <v>597129</v>
      </c>
      <c r="R807" s="258">
        <v>5000</v>
      </c>
      <c r="S807" s="259">
        <v>100</v>
      </c>
      <c r="T807" s="213" t="s">
        <v>5012</v>
      </c>
      <c r="U807" s="213">
        <v>4</v>
      </c>
      <c r="V807" s="213" t="s">
        <v>3439</v>
      </c>
      <c r="W807" s="213" t="s">
        <v>3361</v>
      </c>
      <c r="X807" s="213" t="s">
        <v>3490</v>
      </c>
      <c r="Y807" s="213" t="s">
        <v>1540</v>
      </c>
      <c r="Z807" s="213" t="s">
        <v>1109</v>
      </c>
      <c r="AA807" s="213">
        <v>100</v>
      </c>
      <c r="AB807" s="213">
        <v>220</v>
      </c>
      <c r="AC807" s="207" t="s">
        <v>1540</v>
      </c>
      <c r="AD807"/>
      <c r="AE807" s="206"/>
      <c r="AF807" s="94"/>
      <c r="AG807" s="94"/>
      <c r="AH807" s="94"/>
      <c r="AI807" s="94"/>
      <c r="AJ807" s="94"/>
      <c r="AK807" s="94"/>
      <c r="AL807" s="94"/>
      <c r="AM807" s="254"/>
      <c r="AN807" s="254"/>
      <c r="AO807" s="94"/>
      <c r="AP807" s="94"/>
      <c r="AQ807" s="94"/>
      <c r="AR807" s="94"/>
      <c r="AS807" s="207"/>
    </row>
    <row r="808" spans="13:45" ht="12.75">
      <c r="M808" s="104"/>
      <c r="O808" s="206" t="s">
        <v>3349</v>
      </c>
      <c r="P808" s="94" t="s">
        <v>2075</v>
      </c>
      <c r="Q808" s="180">
        <v>645467</v>
      </c>
      <c r="R808" s="258">
        <v>5000</v>
      </c>
      <c r="S808" s="259">
        <v>100</v>
      </c>
      <c r="T808" s="213" t="s">
        <v>5012</v>
      </c>
      <c r="U808" s="213">
        <v>4</v>
      </c>
      <c r="V808" s="213" t="s">
        <v>3443</v>
      </c>
      <c r="W808" s="213" t="s">
        <v>3572</v>
      </c>
      <c r="X808" s="213" t="s">
        <v>3490</v>
      </c>
      <c r="Y808" s="213" t="s">
        <v>1540</v>
      </c>
      <c r="Z808" s="213" t="s">
        <v>1109</v>
      </c>
      <c r="AA808" s="213">
        <v>100</v>
      </c>
      <c r="AB808" s="213">
        <v>220</v>
      </c>
      <c r="AC808" s="207" t="s">
        <v>1540</v>
      </c>
      <c r="AD808"/>
      <c r="AE808" s="206"/>
      <c r="AF808" s="94"/>
      <c r="AG808" s="94"/>
      <c r="AH808" s="94"/>
      <c r="AI808" s="94"/>
      <c r="AJ808" s="94"/>
      <c r="AK808" s="94"/>
      <c r="AL808" s="94"/>
      <c r="AM808" s="254"/>
      <c r="AN808" s="254"/>
      <c r="AO808" s="94"/>
      <c r="AP808" s="94"/>
      <c r="AQ808" s="94"/>
      <c r="AR808" s="94"/>
      <c r="AS808" s="207"/>
    </row>
    <row r="809" spans="13:45" ht="12.75">
      <c r="M809" s="104"/>
      <c r="O809" s="206" t="s">
        <v>3348</v>
      </c>
      <c r="P809" s="94" t="s">
        <v>2074</v>
      </c>
      <c r="Q809" s="180">
        <v>810398</v>
      </c>
      <c r="R809" s="258">
        <v>6300</v>
      </c>
      <c r="S809" s="259">
        <v>100</v>
      </c>
      <c r="T809" s="213" t="s">
        <v>5012</v>
      </c>
      <c r="U809" s="213">
        <v>4</v>
      </c>
      <c r="V809" s="213" t="s">
        <v>3443</v>
      </c>
      <c r="W809" s="213" t="s">
        <v>3572</v>
      </c>
      <c r="X809" s="213" t="s">
        <v>3490</v>
      </c>
      <c r="Y809" s="213" t="s">
        <v>1540</v>
      </c>
      <c r="Z809" s="213" t="s">
        <v>1109</v>
      </c>
      <c r="AA809" s="213">
        <v>100</v>
      </c>
      <c r="AB809" s="213">
        <v>220</v>
      </c>
      <c r="AC809" s="207" t="s">
        <v>1540</v>
      </c>
      <c r="AD809"/>
      <c r="AE809" s="206"/>
      <c r="AF809" s="94"/>
      <c r="AG809" s="94"/>
      <c r="AH809" s="94"/>
      <c r="AI809" s="94"/>
      <c r="AJ809" s="94"/>
      <c r="AK809" s="94"/>
      <c r="AL809" s="94"/>
      <c r="AM809" s="254"/>
      <c r="AN809" s="254"/>
      <c r="AO809" s="94"/>
      <c r="AP809" s="94"/>
      <c r="AQ809" s="94"/>
      <c r="AR809" s="94"/>
      <c r="AS809" s="207"/>
    </row>
    <row r="810" spans="13:45" ht="12.75">
      <c r="M810" s="104"/>
      <c r="O810" s="206" t="s">
        <v>849</v>
      </c>
      <c r="P810" s="94" t="s">
        <v>850</v>
      </c>
      <c r="Q810" s="180">
        <v>193630</v>
      </c>
      <c r="R810" s="258">
        <v>800</v>
      </c>
      <c r="S810" s="259">
        <v>42</v>
      </c>
      <c r="T810" s="213" t="s">
        <v>4994</v>
      </c>
      <c r="U810" s="213" t="s">
        <v>851</v>
      </c>
      <c r="V810" s="213" t="s">
        <v>3439</v>
      </c>
      <c r="W810" s="213" t="s">
        <v>3361</v>
      </c>
      <c r="X810" s="213" t="s">
        <v>852</v>
      </c>
      <c r="Y810" s="213" t="s">
        <v>4999</v>
      </c>
      <c r="Z810" s="213" t="s">
        <v>5026</v>
      </c>
      <c r="AA810" s="213">
        <v>36</v>
      </c>
      <c r="AB810" s="213">
        <v>42</v>
      </c>
      <c r="AC810" s="207" t="s">
        <v>4530</v>
      </c>
      <c r="AD810"/>
      <c r="AE810" s="206"/>
      <c r="AF810" s="94"/>
      <c r="AG810" s="94"/>
      <c r="AH810" s="94"/>
      <c r="AI810" s="94"/>
      <c r="AJ810" s="94"/>
      <c r="AK810" s="94"/>
      <c r="AL810" s="94"/>
      <c r="AM810" s="254"/>
      <c r="AN810" s="254"/>
      <c r="AO810" s="94"/>
      <c r="AP810" s="94"/>
      <c r="AQ810" s="94"/>
      <c r="AR810" s="94"/>
      <c r="AS810" s="207"/>
    </row>
    <row r="811" spans="13:45" ht="12.75">
      <c r="M811" s="104"/>
      <c r="O811" s="206" t="s">
        <v>853</v>
      </c>
      <c r="P811" s="94" t="s">
        <v>854</v>
      </c>
      <c r="Q811" s="180">
        <v>73672</v>
      </c>
      <c r="R811" s="258">
        <v>800</v>
      </c>
      <c r="S811" s="259">
        <v>50</v>
      </c>
      <c r="T811" s="213" t="s">
        <v>4994</v>
      </c>
      <c r="U811" s="213" t="s">
        <v>851</v>
      </c>
      <c r="V811" s="213" t="s">
        <v>3439</v>
      </c>
      <c r="W811" s="213" t="s">
        <v>3361</v>
      </c>
      <c r="X811" s="213" t="s">
        <v>3441</v>
      </c>
      <c r="Y811" s="213" t="s">
        <v>4995</v>
      </c>
      <c r="Z811" s="213" t="s">
        <v>855</v>
      </c>
      <c r="AA811" s="213">
        <v>50</v>
      </c>
      <c r="AB811" s="213">
        <v>50</v>
      </c>
      <c r="AC811" s="207" t="s">
        <v>4530</v>
      </c>
      <c r="AD811"/>
      <c r="AE811" s="206"/>
      <c r="AF811" s="94"/>
      <c r="AG811" s="94"/>
      <c r="AH811" s="94"/>
      <c r="AI811" s="94"/>
      <c r="AJ811" s="94"/>
      <c r="AK811" s="94"/>
      <c r="AL811" s="94"/>
      <c r="AM811" s="254"/>
      <c r="AN811" s="254"/>
      <c r="AO811" s="94"/>
      <c r="AP811" s="94"/>
      <c r="AQ811" s="94"/>
      <c r="AR811" s="94"/>
      <c r="AS811" s="207"/>
    </row>
    <row r="812" spans="13:45" ht="12.75">
      <c r="M812" s="104"/>
      <c r="O812" s="206" t="s">
        <v>856</v>
      </c>
      <c r="P812" s="94" t="s">
        <v>857</v>
      </c>
      <c r="Q812" s="180">
        <v>79303</v>
      </c>
      <c r="R812" s="258">
        <v>800</v>
      </c>
      <c r="S812" s="259">
        <v>50</v>
      </c>
      <c r="T812" s="213" t="s">
        <v>4994</v>
      </c>
      <c r="U812" s="213" t="s">
        <v>851</v>
      </c>
      <c r="V812" s="213" t="s">
        <v>3439</v>
      </c>
      <c r="W812" s="213" t="s">
        <v>3361</v>
      </c>
      <c r="X812" s="213" t="s">
        <v>3441</v>
      </c>
      <c r="Y812" s="213" t="s">
        <v>4996</v>
      </c>
      <c r="Z812" s="213" t="s">
        <v>855</v>
      </c>
      <c r="AA812" s="213">
        <v>50</v>
      </c>
      <c r="AB812" s="213">
        <v>50</v>
      </c>
      <c r="AC812" s="207" t="s">
        <v>4530</v>
      </c>
      <c r="AD812"/>
      <c r="AE812" s="206"/>
      <c r="AF812" s="94"/>
      <c r="AG812" s="94"/>
      <c r="AH812" s="94"/>
      <c r="AI812" s="94"/>
      <c r="AJ812" s="94"/>
      <c r="AK812" s="94"/>
      <c r="AL812" s="94"/>
      <c r="AM812" s="254"/>
      <c r="AN812" s="254"/>
      <c r="AO812" s="94"/>
      <c r="AP812" s="94"/>
      <c r="AQ812" s="94"/>
      <c r="AR812" s="94"/>
      <c r="AS812" s="207"/>
    </row>
    <row r="813" spans="13:45" ht="12.75">
      <c r="M813" s="104"/>
      <c r="O813" s="206" t="s">
        <v>858</v>
      </c>
      <c r="P813" s="94" t="s">
        <v>859</v>
      </c>
      <c r="Q813" s="180">
        <v>86520</v>
      </c>
      <c r="R813" s="258">
        <v>800</v>
      </c>
      <c r="S813" s="259">
        <v>50</v>
      </c>
      <c r="T813" s="213" t="s">
        <v>4994</v>
      </c>
      <c r="U813" s="213" t="s">
        <v>851</v>
      </c>
      <c r="V813" s="213" t="s">
        <v>3439</v>
      </c>
      <c r="W813" s="213" t="s">
        <v>3361</v>
      </c>
      <c r="X813" s="213" t="s">
        <v>3441</v>
      </c>
      <c r="Y813" s="213" t="s">
        <v>4999</v>
      </c>
      <c r="Z813" s="213" t="s">
        <v>855</v>
      </c>
      <c r="AA813" s="213">
        <v>50</v>
      </c>
      <c r="AB813" s="213">
        <v>50</v>
      </c>
      <c r="AC813" s="207" t="s">
        <v>4530</v>
      </c>
      <c r="AD813"/>
      <c r="AE813" s="206"/>
      <c r="AF813" s="94"/>
      <c r="AG813" s="94"/>
      <c r="AH813" s="94"/>
      <c r="AI813" s="94"/>
      <c r="AJ813" s="94"/>
      <c r="AK813" s="94"/>
      <c r="AL813" s="94"/>
      <c r="AM813" s="254"/>
      <c r="AN813" s="254"/>
      <c r="AO813" s="94"/>
      <c r="AP813" s="94"/>
      <c r="AQ813" s="94"/>
      <c r="AR813" s="94"/>
      <c r="AS813" s="207"/>
    </row>
    <row r="814" spans="13:45" ht="12.75">
      <c r="M814" s="104"/>
      <c r="O814" s="206" t="s">
        <v>860</v>
      </c>
      <c r="P814" s="94" t="s">
        <v>861</v>
      </c>
      <c r="Q814" s="180">
        <v>103512</v>
      </c>
      <c r="R814" s="258">
        <v>800</v>
      </c>
      <c r="S814" s="259">
        <v>50</v>
      </c>
      <c r="T814" s="213" t="s">
        <v>4994</v>
      </c>
      <c r="U814" s="213" t="s">
        <v>851</v>
      </c>
      <c r="V814" s="213" t="s">
        <v>3439</v>
      </c>
      <c r="W814" s="213" t="s">
        <v>3361</v>
      </c>
      <c r="X814" s="213" t="s">
        <v>3445</v>
      </c>
      <c r="Y814" s="213" t="s">
        <v>4996</v>
      </c>
      <c r="Z814" s="213" t="s">
        <v>855</v>
      </c>
      <c r="AA814" s="213">
        <v>50</v>
      </c>
      <c r="AB814" s="213">
        <v>50</v>
      </c>
      <c r="AC814" s="207" t="s">
        <v>4530</v>
      </c>
      <c r="AD814"/>
      <c r="AE814" s="206"/>
      <c r="AF814" s="94"/>
      <c r="AG814" s="94"/>
      <c r="AH814" s="94"/>
      <c r="AI814" s="94"/>
      <c r="AJ814" s="94"/>
      <c r="AK814" s="94"/>
      <c r="AL814" s="94"/>
      <c r="AM814" s="254"/>
      <c r="AN814" s="254"/>
      <c r="AO814" s="94"/>
      <c r="AP814" s="94"/>
      <c r="AQ814" s="94"/>
      <c r="AR814" s="94"/>
      <c r="AS814" s="207"/>
    </row>
    <row r="815" spans="13:45" ht="12.75">
      <c r="M815" s="104"/>
      <c r="O815" s="206" t="s">
        <v>862</v>
      </c>
      <c r="P815" s="94" t="s">
        <v>863</v>
      </c>
      <c r="Q815" s="180">
        <v>110729</v>
      </c>
      <c r="R815" s="258">
        <v>800</v>
      </c>
      <c r="S815" s="259">
        <v>50</v>
      </c>
      <c r="T815" s="213" t="s">
        <v>4994</v>
      </c>
      <c r="U815" s="213" t="s">
        <v>851</v>
      </c>
      <c r="V815" s="213" t="s">
        <v>3439</v>
      </c>
      <c r="W815" s="213" t="s">
        <v>3361</v>
      </c>
      <c r="X815" s="213" t="s">
        <v>3445</v>
      </c>
      <c r="Y815" s="213" t="s">
        <v>4999</v>
      </c>
      <c r="Z815" s="213" t="s">
        <v>855</v>
      </c>
      <c r="AA815" s="213">
        <v>50</v>
      </c>
      <c r="AB815" s="213">
        <v>50</v>
      </c>
      <c r="AC815" s="207" t="s">
        <v>4530</v>
      </c>
      <c r="AD815"/>
      <c r="AE815" s="206"/>
      <c r="AF815" s="94"/>
      <c r="AG815" s="94"/>
      <c r="AH815" s="94"/>
      <c r="AI815" s="94"/>
      <c r="AJ815" s="94"/>
      <c r="AK815" s="94"/>
      <c r="AL815" s="94"/>
      <c r="AM815" s="254"/>
      <c r="AN815" s="254"/>
      <c r="AO815" s="94"/>
      <c r="AP815" s="94"/>
      <c r="AQ815" s="94"/>
      <c r="AR815" s="94"/>
      <c r="AS815" s="207"/>
    </row>
    <row r="816" spans="13:45" ht="12.75">
      <c r="M816" s="104"/>
      <c r="O816" s="206" t="s">
        <v>864</v>
      </c>
      <c r="P816" s="94" t="s">
        <v>865</v>
      </c>
      <c r="Q816" s="180">
        <v>200708</v>
      </c>
      <c r="R816" s="258">
        <v>800</v>
      </c>
      <c r="S816" s="259">
        <v>50</v>
      </c>
      <c r="T816" s="213" t="s">
        <v>4994</v>
      </c>
      <c r="U816" s="213" t="s">
        <v>851</v>
      </c>
      <c r="V816" s="213" t="s">
        <v>3439</v>
      </c>
      <c r="W816" s="213" t="s">
        <v>3361</v>
      </c>
      <c r="X816" s="213" t="s">
        <v>852</v>
      </c>
      <c r="Y816" s="213" t="s">
        <v>4999</v>
      </c>
      <c r="Z816" s="213" t="s">
        <v>855</v>
      </c>
      <c r="AA816" s="213">
        <v>50</v>
      </c>
      <c r="AB816" s="213">
        <v>50</v>
      </c>
      <c r="AC816" s="207" t="s">
        <v>4530</v>
      </c>
      <c r="AD816"/>
      <c r="AE816" s="206"/>
      <c r="AF816" s="94"/>
      <c r="AG816" s="94"/>
      <c r="AH816" s="94"/>
      <c r="AI816" s="94"/>
      <c r="AJ816" s="94"/>
      <c r="AK816" s="94"/>
      <c r="AL816" s="94"/>
      <c r="AM816" s="254"/>
      <c r="AN816" s="254"/>
      <c r="AO816" s="94"/>
      <c r="AP816" s="94"/>
      <c r="AQ816" s="94"/>
      <c r="AR816" s="94"/>
      <c r="AS816" s="207"/>
    </row>
    <row r="817" spans="13:45" ht="12.75">
      <c r="M817" s="104"/>
      <c r="O817" s="206" t="s">
        <v>866</v>
      </c>
      <c r="P817" s="94" t="s">
        <v>867</v>
      </c>
      <c r="Q817" s="180">
        <v>207108</v>
      </c>
      <c r="R817" s="258">
        <v>1250</v>
      </c>
      <c r="S817" s="259">
        <v>42</v>
      </c>
      <c r="T817" s="213" t="s">
        <v>4994</v>
      </c>
      <c r="U817" s="213" t="s">
        <v>851</v>
      </c>
      <c r="V817" s="213" t="s">
        <v>3439</v>
      </c>
      <c r="W817" s="213" t="s">
        <v>3361</v>
      </c>
      <c r="X817" s="213" t="s">
        <v>852</v>
      </c>
      <c r="Y817" s="213" t="s">
        <v>4999</v>
      </c>
      <c r="Z817" s="213" t="s">
        <v>5026</v>
      </c>
      <c r="AA817" s="213">
        <v>36</v>
      </c>
      <c r="AB817" s="213">
        <v>42</v>
      </c>
      <c r="AC817" s="207" t="s">
        <v>4530</v>
      </c>
      <c r="AD817"/>
      <c r="AE817" s="206"/>
      <c r="AF817" s="94"/>
      <c r="AG817" s="94"/>
      <c r="AH817" s="94"/>
      <c r="AI817" s="94"/>
      <c r="AJ817" s="94"/>
      <c r="AK817" s="94"/>
      <c r="AL817" s="94"/>
      <c r="AM817" s="254"/>
      <c r="AN817" s="254"/>
      <c r="AO817" s="94"/>
      <c r="AP817" s="94"/>
      <c r="AQ817" s="94"/>
      <c r="AR817" s="94"/>
      <c r="AS817" s="207"/>
    </row>
    <row r="818" spans="13:45" ht="12.75">
      <c r="M818" s="104"/>
      <c r="O818" s="206" t="s">
        <v>868</v>
      </c>
      <c r="P818" s="94" t="s">
        <v>869</v>
      </c>
      <c r="Q818" s="180">
        <v>87150</v>
      </c>
      <c r="R818" s="258">
        <v>1250</v>
      </c>
      <c r="S818" s="259">
        <v>50</v>
      </c>
      <c r="T818" s="213" t="s">
        <v>4994</v>
      </c>
      <c r="U818" s="213" t="s">
        <v>851</v>
      </c>
      <c r="V818" s="213" t="s">
        <v>3439</v>
      </c>
      <c r="W818" s="213" t="s">
        <v>3361</v>
      </c>
      <c r="X818" s="213" t="s">
        <v>3441</v>
      </c>
      <c r="Y818" s="213" t="s">
        <v>4995</v>
      </c>
      <c r="Z818" s="213" t="s">
        <v>855</v>
      </c>
      <c r="AA818" s="213">
        <v>50</v>
      </c>
      <c r="AB818" s="213">
        <v>50</v>
      </c>
      <c r="AC818" s="207" t="s">
        <v>4530</v>
      </c>
      <c r="AD818"/>
      <c r="AE818" s="206"/>
      <c r="AF818" s="94"/>
      <c r="AG818" s="94"/>
      <c r="AH818" s="94"/>
      <c r="AI818" s="94"/>
      <c r="AJ818" s="94"/>
      <c r="AK818" s="94"/>
      <c r="AL818" s="94"/>
      <c r="AM818" s="254"/>
      <c r="AN818" s="254"/>
      <c r="AO818" s="94"/>
      <c r="AP818" s="94"/>
      <c r="AQ818" s="94"/>
      <c r="AR818" s="94"/>
      <c r="AS818" s="207"/>
    </row>
    <row r="819" spans="13:45" ht="12.75">
      <c r="M819" s="104"/>
      <c r="O819" s="206" t="s">
        <v>870</v>
      </c>
      <c r="P819" s="94" t="s">
        <v>871</v>
      </c>
      <c r="Q819" s="180">
        <v>92780</v>
      </c>
      <c r="R819" s="258">
        <v>1250</v>
      </c>
      <c r="S819" s="259">
        <v>50</v>
      </c>
      <c r="T819" s="213" t="s">
        <v>4994</v>
      </c>
      <c r="U819" s="213" t="s">
        <v>851</v>
      </c>
      <c r="V819" s="213" t="s">
        <v>3439</v>
      </c>
      <c r="W819" s="213" t="s">
        <v>3361</v>
      </c>
      <c r="X819" s="213" t="s">
        <v>3441</v>
      </c>
      <c r="Y819" s="213" t="s">
        <v>4996</v>
      </c>
      <c r="Z819" s="213" t="s">
        <v>855</v>
      </c>
      <c r="AA819" s="213">
        <v>50</v>
      </c>
      <c r="AB819" s="213">
        <v>50</v>
      </c>
      <c r="AC819" s="207" t="s">
        <v>4530</v>
      </c>
      <c r="AD819"/>
      <c r="AE819" s="206"/>
      <c r="AF819" s="94"/>
      <c r="AG819" s="94"/>
      <c r="AH819" s="94"/>
      <c r="AI819" s="94"/>
      <c r="AJ819" s="94"/>
      <c r="AK819" s="94"/>
      <c r="AL819" s="94"/>
      <c r="AM819" s="254"/>
      <c r="AN819" s="254"/>
      <c r="AO819" s="94"/>
      <c r="AP819" s="94"/>
      <c r="AQ819" s="94"/>
      <c r="AR819" s="94"/>
      <c r="AS819" s="207"/>
    </row>
    <row r="820" spans="13:45" ht="12.75">
      <c r="M820" s="104"/>
      <c r="O820" s="206" t="s">
        <v>872</v>
      </c>
      <c r="P820" s="94" t="s">
        <v>873</v>
      </c>
      <c r="Q820" s="180">
        <v>99997</v>
      </c>
      <c r="R820" s="258">
        <v>1250</v>
      </c>
      <c r="S820" s="259">
        <v>50</v>
      </c>
      <c r="T820" s="213" t="s">
        <v>4994</v>
      </c>
      <c r="U820" s="213" t="s">
        <v>851</v>
      </c>
      <c r="V820" s="213" t="s">
        <v>3439</v>
      </c>
      <c r="W820" s="213" t="s">
        <v>3361</v>
      </c>
      <c r="X820" s="213" t="s">
        <v>3441</v>
      </c>
      <c r="Y820" s="213" t="s">
        <v>4999</v>
      </c>
      <c r="Z820" s="213" t="s">
        <v>855</v>
      </c>
      <c r="AA820" s="213">
        <v>50</v>
      </c>
      <c r="AB820" s="213">
        <v>50</v>
      </c>
      <c r="AC820" s="207" t="s">
        <v>4530</v>
      </c>
      <c r="AD820"/>
      <c r="AE820" s="206"/>
      <c r="AF820" s="94"/>
      <c r="AG820" s="94"/>
      <c r="AH820" s="94"/>
      <c r="AI820" s="94"/>
      <c r="AJ820" s="94"/>
      <c r="AK820" s="94"/>
      <c r="AL820" s="94"/>
      <c r="AM820" s="254"/>
      <c r="AN820" s="254"/>
      <c r="AO820" s="94"/>
      <c r="AP820" s="94"/>
      <c r="AQ820" s="94"/>
      <c r="AR820" s="94"/>
      <c r="AS820" s="207"/>
    </row>
    <row r="821" spans="13:45" ht="12.75">
      <c r="M821" s="104"/>
      <c r="O821" s="206" t="s">
        <v>874</v>
      </c>
      <c r="P821" s="94" t="s">
        <v>875</v>
      </c>
      <c r="Q821" s="180">
        <v>116989</v>
      </c>
      <c r="R821" s="258">
        <v>1250</v>
      </c>
      <c r="S821" s="259">
        <v>50</v>
      </c>
      <c r="T821" s="213" t="s">
        <v>4994</v>
      </c>
      <c r="U821" s="213" t="s">
        <v>851</v>
      </c>
      <c r="V821" s="213" t="s">
        <v>3439</v>
      </c>
      <c r="W821" s="213" t="s">
        <v>3361</v>
      </c>
      <c r="X821" s="213" t="s">
        <v>3445</v>
      </c>
      <c r="Y821" s="213" t="s">
        <v>4996</v>
      </c>
      <c r="Z821" s="213" t="s">
        <v>855</v>
      </c>
      <c r="AA821" s="213">
        <v>50</v>
      </c>
      <c r="AB821" s="213">
        <v>50</v>
      </c>
      <c r="AC821" s="207" t="s">
        <v>4530</v>
      </c>
      <c r="AD821"/>
      <c r="AE821" s="206"/>
      <c r="AF821" s="94"/>
      <c r="AG821" s="94"/>
      <c r="AH821" s="94"/>
      <c r="AI821" s="94"/>
      <c r="AJ821" s="94"/>
      <c r="AK821" s="94"/>
      <c r="AL821" s="94"/>
      <c r="AM821" s="254"/>
      <c r="AN821" s="254"/>
      <c r="AO821" s="94"/>
      <c r="AP821" s="94"/>
      <c r="AQ821" s="94"/>
      <c r="AR821" s="94"/>
      <c r="AS821" s="207"/>
    </row>
    <row r="822" spans="13:45" ht="12.75">
      <c r="M822" s="104"/>
      <c r="O822" s="206" t="s">
        <v>876</v>
      </c>
      <c r="P822" s="94" t="s">
        <v>877</v>
      </c>
      <c r="Q822" s="180">
        <v>124206</v>
      </c>
      <c r="R822" s="258">
        <v>1250</v>
      </c>
      <c r="S822" s="259">
        <v>50</v>
      </c>
      <c r="T822" s="213" t="s">
        <v>4994</v>
      </c>
      <c r="U822" s="213" t="s">
        <v>851</v>
      </c>
      <c r="V822" s="213" t="s">
        <v>3439</v>
      </c>
      <c r="W822" s="213" t="s">
        <v>3361</v>
      </c>
      <c r="X822" s="213" t="s">
        <v>3445</v>
      </c>
      <c r="Y822" s="213" t="s">
        <v>4999</v>
      </c>
      <c r="Z822" s="213" t="s">
        <v>855</v>
      </c>
      <c r="AA822" s="213">
        <v>50</v>
      </c>
      <c r="AB822" s="213">
        <v>50</v>
      </c>
      <c r="AC822" s="207" t="s">
        <v>4530</v>
      </c>
      <c r="AD822"/>
      <c r="AE822" s="206"/>
      <c r="AF822" s="94"/>
      <c r="AG822" s="94"/>
      <c r="AH822" s="94"/>
      <c r="AI822" s="94"/>
      <c r="AJ822" s="94"/>
      <c r="AK822" s="94"/>
      <c r="AL822" s="94"/>
      <c r="AM822" s="254"/>
      <c r="AN822" s="254"/>
      <c r="AO822" s="94"/>
      <c r="AP822" s="94"/>
      <c r="AQ822" s="94"/>
      <c r="AR822" s="94"/>
      <c r="AS822" s="207"/>
    </row>
    <row r="823" spans="13:45" ht="12.75">
      <c r="M823" s="104"/>
      <c r="O823" s="206" t="s">
        <v>878</v>
      </c>
      <c r="P823" s="94" t="s">
        <v>879</v>
      </c>
      <c r="Q823" s="180">
        <v>214186</v>
      </c>
      <c r="R823" s="258">
        <v>1250</v>
      </c>
      <c r="S823" s="259">
        <v>50</v>
      </c>
      <c r="T823" s="213" t="s">
        <v>4994</v>
      </c>
      <c r="U823" s="213" t="s">
        <v>851</v>
      </c>
      <c r="V823" s="213" t="s">
        <v>3439</v>
      </c>
      <c r="W823" s="213" t="s">
        <v>3361</v>
      </c>
      <c r="X823" s="213" t="s">
        <v>852</v>
      </c>
      <c r="Y823" s="213" t="s">
        <v>4999</v>
      </c>
      <c r="Z823" s="213" t="s">
        <v>855</v>
      </c>
      <c r="AA823" s="213">
        <v>50</v>
      </c>
      <c r="AB823" s="213">
        <v>50</v>
      </c>
      <c r="AC823" s="207" t="s">
        <v>4530</v>
      </c>
      <c r="AD823"/>
      <c r="AE823" s="206"/>
      <c r="AF823" s="94"/>
      <c r="AG823" s="94"/>
      <c r="AH823" s="94"/>
      <c r="AI823" s="94"/>
      <c r="AJ823" s="94"/>
      <c r="AK823" s="94"/>
      <c r="AL823" s="94"/>
      <c r="AM823" s="254"/>
      <c r="AN823" s="254"/>
      <c r="AO823" s="94"/>
      <c r="AP823" s="94"/>
      <c r="AQ823" s="94"/>
      <c r="AR823" s="94"/>
      <c r="AS823" s="207"/>
    </row>
    <row r="824" spans="13:45" ht="12.75">
      <c r="M824" s="104"/>
      <c r="O824" s="206" t="s">
        <v>880</v>
      </c>
      <c r="P824" s="94" t="s">
        <v>881</v>
      </c>
      <c r="Q824" s="180">
        <v>199745</v>
      </c>
      <c r="R824" s="258">
        <v>800</v>
      </c>
      <c r="S824" s="259">
        <v>42</v>
      </c>
      <c r="T824" s="213" t="s">
        <v>4994</v>
      </c>
      <c r="U824" s="213" t="s">
        <v>851</v>
      </c>
      <c r="V824" s="213" t="s">
        <v>3443</v>
      </c>
      <c r="W824" s="213" t="s">
        <v>3572</v>
      </c>
      <c r="X824" s="213" t="s">
        <v>852</v>
      </c>
      <c r="Y824" s="213" t="s">
        <v>4999</v>
      </c>
      <c r="Z824" s="213" t="s">
        <v>5026</v>
      </c>
      <c r="AA824" s="213">
        <v>36</v>
      </c>
      <c r="AB824" s="213">
        <v>42</v>
      </c>
      <c r="AC824" s="207" t="s">
        <v>4530</v>
      </c>
      <c r="AD824"/>
      <c r="AE824" s="206"/>
      <c r="AF824" s="94"/>
      <c r="AG824" s="94"/>
      <c r="AH824" s="94"/>
      <c r="AI824" s="94"/>
      <c r="AJ824" s="94"/>
      <c r="AK824" s="94"/>
      <c r="AL824" s="94"/>
      <c r="AM824" s="254"/>
      <c r="AN824" s="254"/>
      <c r="AO824" s="94"/>
      <c r="AP824" s="94"/>
      <c r="AQ824" s="94"/>
      <c r="AR824" s="94"/>
      <c r="AS824" s="207"/>
    </row>
    <row r="825" spans="13:45" ht="12.75">
      <c r="M825" s="104"/>
      <c r="O825" s="206" t="s">
        <v>882</v>
      </c>
      <c r="P825" s="94" t="s">
        <v>883</v>
      </c>
      <c r="Q825" s="180">
        <v>82410</v>
      </c>
      <c r="R825" s="258">
        <v>800</v>
      </c>
      <c r="S825" s="259">
        <v>50</v>
      </c>
      <c r="T825" s="213" t="s">
        <v>4994</v>
      </c>
      <c r="U825" s="213" t="s">
        <v>851</v>
      </c>
      <c r="V825" s="213" t="s">
        <v>3443</v>
      </c>
      <c r="W825" s="213" t="s">
        <v>3572</v>
      </c>
      <c r="X825" s="213" t="s">
        <v>3441</v>
      </c>
      <c r="Y825" s="213" t="s">
        <v>4995</v>
      </c>
      <c r="Z825" s="213" t="s">
        <v>855</v>
      </c>
      <c r="AA825" s="213">
        <v>50</v>
      </c>
      <c r="AB825" s="213">
        <v>50</v>
      </c>
      <c r="AC825" s="207" t="s">
        <v>4530</v>
      </c>
      <c r="AD825"/>
      <c r="AE825" s="206"/>
      <c r="AF825" s="94"/>
      <c r="AG825" s="94"/>
      <c r="AH825" s="94"/>
      <c r="AI825" s="94"/>
      <c r="AJ825" s="94"/>
      <c r="AK825" s="94"/>
      <c r="AL825" s="94"/>
      <c r="AM825" s="254"/>
      <c r="AN825" s="254"/>
      <c r="AO825" s="94"/>
      <c r="AP825" s="94"/>
      <c r="AQ825" s="94"/>
      <c r="AR825" s="94"/>
      <c r="AS825" s="207"/>
    </row>
    <row r="826" spans="13:45" ht="12.75">
      <c r="M826" s="104"/>
      <c r="O826" s="206" t="s">
        <v>884</v>
      </c>
      <c r="P826" s="94" t="s">
        <v>885</v>
      </c>
      <c r="Q826" s="180">
        <v>88041</v>
      </c>
      <c r="R826" s="258">
        <v>800</v>
      </c>
      <c r="S826" s="259">
        <v>50</v>
      </c>
      <c r="T826" s="213" t="s">
        <v>4994</v>
      </c>
      <c r="U826" s="213" t="s">
        <v>851</v>
      </c>
      <c r="V826" s="213" t="s">
        <v>3443</v>
      </c>
      <c r="W826" s="213" t="s">
        <v>3572</v>
      </c>
      <c r="X826" s="213" t="s">
        <v>3441</v>
      </c>
      <c r="Y826" s="213" t="s">
        <v>4996</v>
      </c>
      <c r="Z826" s="213" t="s">
        <v>855</v>
      </c>
      <c r="AA826" s="213">
        <v>50</v>
      </c>
      <c r="AB826" s="213">
        <v>50</v>
      </c>
      <c r="AC826" s="207" t="s">
        <v>4530</v>
      </c>
      <c r="AD826"/>
      <c r="AE826" s="206"/>
      <c r="AF826" s="94"/>
      <c r="AG826" s="94"/>
      <c r="AH826" s="94"/>
      <c r="AI826" s="94"/>
      <c r="AJ826" s="94"/>
      <c r="AK826" s="94"/>
      <c r="AL826" s="94"/>
      <c r="AM826" s="254"/>
      <c r="AN826" s="254"/>
      <c r="AO826" s="94"/>
      <c r="AP826" s="94"/>
      <c r="AQ826" s="94"/>
      <c r="AR826" s="94"/>
      <c r="AS826" s="207"/>
    </row>
    <row r="827" spans="13:45" ht="12.75">
      <c r="M827" s="104"/>
      <c r="O827" s="206" t="s">
        <v>886</v>
      </c>
      <c r="P827" s="94" t="s">
        <v>887</v>
      </c>
      <c r="Q827" s="180">
        <v>95258</v>
      </c>
      <c r="R827" s="258">
        <v>800</v>
      </c>
      <c r="S827" s="259">
        <v>50</v>
      </c>
      <c r="T827" s="213" t="s">
        <v>4994</v>
      </c>
      <c r="U827" s="213" t="s">
        <v>851</v>
      </c>
      <c r="V827" s="213" t="s">
        <v>3443</v>
      </c>
      <c r="W827" s="213" t="s">
        <v>3572</v>
      </c>
      <c r="X827" s="213" t="s">
        <v>3441</v>
      </c>
      <c r="Y827" s="213" t="s">
        <v>4999</v>
      </c>
      <c r="Z827" s="213" t="s">
        <v>855</v>
      </c>
      <c r="AA827" s="213">
        <v>50</v>
      </c>
      <c r="AB827" s="213">
        <v>50</v>
      </c>
      <c r="AC827" s="207" t="s">
        <v>4530</v>
      </c>
      <c r="AD827"/>
      <c r="AE827" s="206"/>
      <c r="AF827" s="94"/>
      <c r="AG827" s="94"/>
      <c r="AH827" s="94"/>
      <c r="AI827" s="94"/>
      <c r="AJ827" s="94"/>
      <c r="AK827" s="94"/>
      <c r="AL827" s="94"/>
      <c r="AM827" s="254"/>
      <c r="AN827" s="254"/>
      <c r="AO827" s="94"/>
      <c r="AP827" s="94"/>
      <c r="AQ827" s="94"/>
      <c r="AR827" s="94"/>
      <c r="AS827" s="207"/>
    </row>
    <row r="828" spans="13:45" ht="12.75">
      <c r="M828" s="104"/>
      <c r="O828" s="206" t="s">
        <v>888</v>
      </c>
      <c r="P828" s="94" t="s">
        <v>889</v>
      </c>
      <c r="Q828" s="180">
        <v>112250</v>
      </c>
      <c r="R828" s="258">
        <v>800</v>
      </c>
      <c r="S828" s="259">
        <v>50</v>
      </c>
      <c r="T828" s="213" t="s">
        <v>4994</v>
      </c>
      <c r="U828" s="213" t="s">
        <v>851</v>
      </c>
      <c r="V828" s="213" t="s">
        <v>3443</v>
      </c>
      <c r="W828" s="213" t="s">
        <v>3572</v>
      </c>
      <c r="X828" s="213" t="s">
        <v>3445</v>
      </c>
      <c r="Y828" s="213" t="s">
        <v>4996</v>
      </c>
      <c r="Z828" s="213" t="s">
        <v>855</v>
      </c>
      <c r="AA828" s="213">
        <v>50</v>
      </c>
      <c r="AB828" s="213">
        <v>50</v>
      </c>
      <c r="AC828" s="207" t="s">
        <v>4530</v>
      </c>
      <c r="AD828"/>
      <c r="AE828" s="206"/>
      <c r="AF828" s="94"/>
      <c r="AG828" s="94"/>
      <c r="AH828" s="94"/>
      <c r="AI828" s="94"/>
      <c r="AJ828" s="94"/>
      <c r="AK828" s="94"/>
      <c r="AL828" s="94"/>
      <c r="AM828" s="254"/>
      <c r="AN828" s="254"/>
      <c r="AO828" s="94"/>
      <c r="AP828" s="94"/>
      <c r="AQ828" s="94"/>
      <c r="AR828" s="94"/>
      <c r="AS828" s="207"/>
    </row>
    <row r="829" spans="13:45" ht="12.75">
      <c r="M829" s="104"/>
      <c r="O829" s="206" t="s">
        <v>890</v>
      </c>
      <c r="P829" s="94" t="s">
        <v>891</v>
      </c>
      <c r="Q829" s="180">
        <v>119466</v>
      </c>
      <c r="R829" s="258">
        <v>800</v>
      </c>
      <c r="S829" s="259">
        <v>50</v>
      </c>
      <c r="T829" s="213" t="s">
        <v>4994</v>
      </c>
      <c r="U829" s="213" t="s">
        <v>851</v>
      </c>
      <c r="V829" s="213" t="s">
        <v>3443</v>
      </c>
      <c r="W829" s="213" t="s">
        <v>3572</v>
      </c>
      <c r="X829" s="213" t="s">
        <v>3445</v>
      </c>
      <c r="Y829" s="213" t="s">
        <v>4999</v>
      </c>
      <c r="Z829" s="213" t="s">
        <v>855</v>
      </c>
      <c r="AA829" s="213">
        <v>50</v>
      </c>
      <c r="AB829" s="213">
        <v>50</v>
      </c>
      <c r="AC829" s="207" t="s">
        <v>4530</v>
      </c>
      <c r="AD829"/>
      <c r="AE829" s="206"/>
      <c r="AF829" s="94"/>
      <c r="AG829" s="94"/>
      <c r="AH829" s="94"/>
      <c r="AI829" s="94"/>
      <c r="AJ829" s="94"/>
      <c r="AK829" s="94"/>
      <c r="AL829" s="94"/>
      <c r="AM829" s="254"/>
      <c r="AN829" s="254"/>
      <c r="AO829" s="94"/>
      <c r="AP829" s="94"/>
      <c r="AQ829" s="94"/>
      <c r="AR829" s="94"/>
      <c r="AS829" s="207"/>
    </row>
    <row r="830" spans="13:45" ht="12.75">
      <c r="M830" s="104"/>
      <c r="O830" s="206" t="s">
        <v>892</v>
      </c>
      <c r="P830" s="94" t="s">
        <v>893</v>
      </c>
      <c r="Q830" s="180">
        <v>209446</v>
      </c>
      <c r="R830" s="258">
        <v>800</v>
      </c>
      <c r="S830" s="259">
        <v>50</v>
      </c>
      <c r="T830" s="213" t="s">
        <v>4994</v>
      </c>
      <c r="U830" s="213" t="s">
        <v>851</v>
      </c>
      <c r="V830" s="213" t="s">
        <v>3443</v>
      </c>
      <c r="W830" s="213" t="s">
        <v>3572</v>
      </c>
      <c r="X830" s="213" t="s">
        <v>852</v>
      </c>
      <c r="Y830" s="213" t="s">
        <v>4999</v>
      </c>
      <c r="Z830" s="213" t="s">
        <v>855</v>
      </c>
      <c r="AA830" s="213">
        <v>50</v>
      </c>
      <c r="AB830" s="213">
        <v>50</v>
      </c>
      <c r="AC830" s="207" t="s">
        <v>4530</v>
      </c>
      <c r="AD830"/>
      <c r="AE830" s="206"/>
      <c r="AF830" s="94"/>
      <c r="AG830" s="94"/>
      <c r="AH830" s="94"/>
      <c r="AI830" s="94"/>
      <c r="AJ830" s="94"/>
      <c r="AK830" s="94"/>
      <c r="AL830" s="94"/>
      <c r="AM830" s="254"/>
      <c r="AN830" s="254"/>
      <c r="AO830" s="94"/>
      <c r="AP830" s="94"/>
      <c r="AQ830" s="94"/>
      <c r="AR830" s="94"/>
      <c r="AS830" s="207"/>
    </row>
    <row r="831" spans="13:45" ht="12.75">
      <c r="M831" s="104"/>
      <c r="O831" s="206" t="s">
        <v>894</v>
      </c>
      <c r="P831" s="94" t="s">
        <v>895</v>
      </c>
      <c r="Q831" s="180">
        <v>207693</v>
      </c>
      <c r="R831" s="258">
        <v>1250</v>
      </c>
      <c r="S831" s="259">
        <v>42</v>
      </c>
      <c r="T831" s="213" t="s">
        <v>4994</v>
      </c>
      <c r="U831" s="213" t="s">
        <v>851</v>
      </c>
      <c r="V831" s="213" t="s">
        <v>3443</v>
      </c>
      <c r="W831" s="213" t="s">
        <v>3572</v>
      </c>
      <c r="X831" s="213" t="s">
        <v>852</v>
      </c>
      <c r="Y831" s="213" t="s">
        <v>4999</v>
      </c>
      <c r="Z831" s="213" t="s">
        <v>5026</v>
      </c>
      <c r="AA831" s="213">
        <v>36</v>
      </c>
      <c r="AB831" s="213">
        <v>42</v>
      </c>
      <c r="AC831" s="207" t="s">
        <v>4530</v>
      </c>
      <c r="AD831"/>
      <c r="AE831" s="206"/>
      <c r="AF831" s="94"/>
      <c r="AG831" s="94"/>
      <c r="AH831" s="94"/>
      <c r="AI831" s="94"/>
      <c r="AJ831" s="94"/>
      <c r="AK831" s="94"/>
      <c r="AL831" s="94"/>
      <c r="AM831" s="254"/>
      <c r="AN831" s="254"/>
      <c r="AO831" s="94"/>
      <c r="AP831" s="94"/>
      <c r="AQ831" s="94"/>
      <c r="AR831" s="94"/>
      <c r="AS831" s="207"/>
    </row>
    <row r="832" spans="13:45" ht="12.75">
      <c r="M832" s="104"/>
      <c r="O832" s="206" t="s">
        <v>896</v>
      </c>
      <c r="P832" s="94" t="s">
        <v>897</v>
      </c>
      <c r="Q832" s="180">
        <v>90357</v>
      </c>
      <c r="R832" s="258">
        <v>1250</v>
      </c>
      <c r="S832" s="259">
        <v>50</v>
      </c>
      <c r="T832" s="213" t="s">
        <v>4994</v>
      </c>
      <c r="U832" s="213" t="s">
        <v>851</v>
      </c>
      <c r="V832" s="213" t="s">
        <v>3443</v>
      </c>
      <c r="W832" s="213" t="s">
        <v>3572</v>
      </c>
      <c r="X832" s="213" t="s">
        <v>3441</v>
      </c>
      <c r="Y832" s="213" t="s">
        <v>4995</v>
      </c>
      <c r="Z832" s="213" t="s">
        <v>855</v>
      </c>
      <c r="AA832" s="213">
        <v>50</v>
      </c>
      <c r="AB832" s="213">
        <v>50</v>
      </c>
      <c r="AC832" s="207" t="s">
        <v>4530</v>
      </c>
      <c r="AD832"/>
      <c r="AE832" s="206"/>
      <c r="AF832" s="94"/>
      <c r="AG832" s="94"/>
      <c r="AH832" s="94"/>
      <c r="AI832" s="94"/>
      <c r="AJ832" s="94"/>
      <c r="AK832" s="94"/>
      <c r="AL832" s="94"/>
      <c r="AM832" s="254"/>
      <c r="AN832" s="254"/>
      <c r="AO832" s="94"/>
      <c r="AP832" s="94"/>
      <c r="AQ832" s="94"/>
      <c r="AR832" s="94"/>
      <c r="AS832" s="207"/>
    </row>
    <row r="833" spans="13:45" ht="12.75">
      <c r="M833" s="104"/>
      <c r="O833" s="206" t="s">
        <v>898</v>
      </c>
      <c r="P833" s="94" t="s">
        <v>899</v>
      </c>
      <c r="Q833" s="180">
        <v>95987</v>
      </c>
      <c r="R833" s="258">
        <v>1250</v>
      </c>
      <c r="S833" s="259">
        <v>50</v>
      </c>
      <c r="T833" s="213" t="s">
        <v>4994</v>
      </c>
      <c r="U833" s="213" t="s">
        <v>851</v>
      </c>
      <c r="V833" s="213" t="s">
        <v>3443</v>
      </c>
      <c r="W833" s="213" t="s">
        <v>3572</v>
      </c>
      <c r="X833" s="213" t="s">
        <v>3441</v>
      </c>
      <c r="Y833" s="213" t="s">
        <v>4996</v>
      </c>
      <c r="Z833" s="213" t="s">
        <v>855</v>
      </c>
      <c r="AA833" s="213">
        <v>50</v>
      </c>
      <c r="AB833" s="213">
        <v>50</v>
      </c>
      <c r="AC833" s="207" t="s">
        <v>4530</v>
      </c>
      <c r="AD833"/>
      <c r="AE833" s="206"/>
      <c r="AF833" s="94"/>
      <c r="AG833" s="94"/>
      <c r="AH833" s="94"/>
      <c r="AI833" s="94"/>
      <c r="AJ833" s="94"/>
      <c r="AK833" s="94"/>
      <c r="AL833" s="94"/>
      <c r="AM833" s="254"/>
      <c r="AN833" s="254"/>
      <c r="AO833" s="94"/>
      <c r="AP833" s="94"/>
      <c r="AQ833" s="94"/>
      <c r="AR833" s="94"/>
      <c r="AS833" s="207"/>
    </row>
    <row r="834" spans="13:45" ht="12.75">
      <c r="M834" s="104"/>
      <c r="O834" s="206" t="s">
        <v>900</v>
      </c>
      <c r="P834" s="94" t="s">
        <v>901</v>
      </c>
      <c r="Q834" s="180">
        <v>103204</v>
      </c>
      <c r="R834" s="258">
        <v>1250</v>
      </c>
      <c r="S834" s="259">
        <v>50</v>
      </c>
      <c r="T834" s="213" t="s">
        <v>4994</v>
      </c>
      <c r="U834" s="213" t="s">
        <v>851</v>
      </c>
      <c r="V834" s="213" t="s">
        <v>3443</v>
      </c>
      <c r="W834" s="213" t="s">
        <v>3572</v>
      </c>
      <c r="X834" s="213" t="s">
        <v>3441</v>
      </c>
      <c r="Y834" s="213" t="s">
        <v>4999</v>
      </c>
      <c r="Z834" s="213" t="s">
        <v>855</v>
      </c>
      <c r="AA834" s="213">
        <v>50</v>
      </c>
      <c r="AB834" s="213">
        <v>50</v>
      </c>
      <c r="AC834" s="207" t="s">
        <v>4530</v>
      </c>
      <c r="AD834"/>
      <c r="AE834" s="206"/>
      <c r="AF834" s="94"/>
      <c r="AG834" s="94"/>
      <c r="AH834" s="94"/>
      <c r="AI834" s="94"/>
      <c r="AJ834" s="94"/>
      <c r="AK834" s="94"/>
      <c r="AL834" s="94"/>
      <c r="AM834" s="254"/>
      <c r="AN834" s="254"/>
      <c r="AO834" s="94"/>
      <c r="AP834" s="94"/>
      <c r="AQ834" s="94"/>
      <c r="AR834" s="94"/>
      <c r="AS834" s="207"/>
    </row>
    <row r="835" spans="13:45" ht="12.75">
      <c r="M835" s="104"/>
      <c r="O835" s="206" t="s">
        <v>902</v>
      </c>
      <c r="P835" s="94" t="s">
        <v>903</v>
      </c>
      <c r="Q835" s="180">
        <v>120196</v>
      </c>
      <c r="R835" s="258">
        <v>1250</v>
      </c>
      <c r="S835" s="259">
        <v>50</v>
      </c>
      <c r="T835" s="213" t="s">
        <v>4994</v>
      </c>
      <c r="U835" s="213" t="s">
        <v>851</v>
      </c>
      <c r="V835" s="213" t="s">
        <v>3443</v>
      </c>
      <c r="W835" s="213" t="s">
        <v>3572</v>
      </c>
      <c r="X835" s="213" t="s">
        <v>3445</v>
      </c>
      <c r="Y835" s="213" t="s">
        <v>4996</v>
      </c>
      <c r="Z835" s="213" t="s">
        <v>855</v>
      </c>
      <c r="AA835" s="213">
        <v>50</v>
      </c>
      <c r="AB835" s="213">
        <v>50</v>
      </c>
      <c r="AC835" s="207" t="s">
        <v>4530</v>
      </c>
      <c r="AD835"/>
      <c r="AE835" s="206"/>
      <c r="AF835" s="94"/>
      <c r="AG835" s="94"/>
      <c r="AH835" s="94"/>
      <c r="AI835" s="94"/>
      <c r="AJ835" s="94"/>
      <c r="AK835" s="94"/>
      <c r="AL835" s="94"/>
      <c r="AM835" s="254"/>
      <c r="AN835" s="254"/>
      <c r="AO835" s="94"/>
      <c r="AP835" s="94"/>
      <c r="AQ835" s="94"/>
      <c r="AR835" s="94"/>
      <c r="AS835" s="207"/>
    </row>
    <row r="836" spans="13:45" ht="12.75">
      <c r="M836" s="104"/>
      <c r="O836" s="206" t="s">
        <v>904</v>
      </c>
      <c r="P836" s="94" t="s">
        <v>905</v>
      </c>
      <c r="Q836" s="180">
        <v>127413</v>
      </c>
      <c r="R836" s="258">
        <v>1250</v>
      </c>
      <c r="S836" s="259">
        <v>50</v>
      </c>
      <c r="T836" s="213" t="s">
        <v>4994</v>
      </c>
      <c r="U836" s="213" t="s">
        <v>851</v>
      </c>
      <c r="V836" s="213" t="s">
        <v>3443</v>
      </c>
      <c r="W836" s="213" t="s">
        <v>3572</v>
      </c>
      <c r="X836" s="213" t="s">
        <v>3445</v>
      </c>
      <c r="Y836" s="213" t="s">
        <v>4999</v>
      </c>
      <c r="Z836" s="213" t="s">
        <v>855</v>
      </c>
      <c r="AA836" s="213">
        <v>50</v>
      </c>
      <c r="AB836" s="213">
        <v>50</v>
      </c>
      <c r="AC836" s="207" t="s">
        <v>4530</v>
      </c>
      <c r="AD836"/>
      <c r="AE836" s="206"/>
      <c r="AF836" s="94"/>
      <c r="AG836" s="94"/>
      <c r="AH836" s="94"/>
      <c r="AI836" s="94"/>
      <c r="AJ836" s="94"/>
      <c r="AK836" s="94"/>
      <c r="AL836" s="94"/>
      <c r="AM836" s="254"/>
      <c r="AN836" s="254"/>
      <c r="AO836" s="94"/>
      <c r="AP836" s="94"/>
      <c r="AQ836" s="94"/>
      <c r="AR836" s="94"/>
      <c r="AS836" s="207"/>
    </row>
    <row r="837" spans="13:45" ht="12.75">
      <c r="M837" s="104"/>
      <c r="O837" s="206" t="s">
        <v>906</v>
      </c>
      <c r="P837" s="94" t="s">
        <v>907</v>
      </c>
      <c r="Q837" s="180">
        <v>217392</v>
      </c>
      <c r="R837" s="258">
        <v>1250</v>
      </c>
      <c r="S837" s="259">
        <v>50</v>
      </c>
      <c r="T837" s="213" t="s">
        <v>4994</v>
      </c>
      <c r="U837" s="213" t="s">
        <v>851</v>
      </c>
      <c r="V837" s="213" t="s">
        <v>3443</v>
      </c>
      <c r="W837" s="213" t="s">
        <v>3572</v>
      </c>
      <c r="X837" s="213" t="s">
        <v>852</v>
      </c>
      <c r="Y837" s="213" t="s">
        <v>4999</v>
      </c>
      <c r="Z837" s="213" t="s">
        <v>855</v>
      </c>
      <c r="AA837" s="213">
        <v>50</v>
      </c>
      <c r="AB837" s="213">
        <v>50</v>
      </c>
      <c r="AC837" s="207" t="s">
        <v>4530</v>
      </c>
      <c r="AD837"/>
      <c r="AE837" s="206"/>
      <c r="AF837" s="94"/>
      <c r="AG837" s="94"/>
      <c r="AH837" s="94"/>
      <c r="AI837" s="94"/>
      <c r="AJ837" s="94"/>
      <c r="AK837" s="94"/>
      <c r="AL837" s="94"/>
      <c r="AM837" s="254"/>
      <c r="AN837" s="254"/>
      <c r="AO837" s="94"/>
      <c r="AP837" s="94"/>
      <c r="AQ837" s="94"/>
      <c r="AR837" s="94"/>
      <c r="AS837" s="207"/>
    </row>
    <row r="838" spans="13:45" ht="12.75">
      <c r="M838" s="104"/>
      <c r="O838" s="206" t="s">
        <v>908</v>
      </c>
      <c r="P838" s="94" t="s">
        <v>909</v>
      </c>
      <c r="Q838" s="180">
        <v>218167</v>
      </c>
      <c r="R838" s="258">
        <v>800</v>
      </c>
      <c r="S838" s="259">
        <v>42</v>
      </c>
      <c r="T838" s="213" t="s">
        <v>4994</v>
      </c>
      <c r="U838" s="213" t="s">
        <v>910</v>
      </c>
      <c r="V838" s="213" t="s">
        <v>3439</v>
      </c>
      <c r="W838" s="213" t="s">
        <v>3361</v>
      </c>
      <c r="X838" s="213" t="s">
        <v>852</v>
      </c>
      <c r="Y838" s="213" t="s">
        <v>4999</v>
      </c>
      <c r="Z838" s="213" t="s">
        <v>5026</v>
      </c>
      <c r="AA838" s="213">
        <v>36</v>
      </c>
      <c r="AB838" s="213">
        <v>42</v>
      </c>
      <c r="AC838" s="207" t="s">
        <v>4530</v>
      </c>
      <c r="AD838"/>
      <c r="AE838" s="206"/>
      <c r="AF838" s="94"/>
      <c r="AG838" s="94"/>
      <c r="AH838" s="94"/>
      <c r="AI838" s="94"/>
      <c r="AJ838" s="94"/>
      <c r="AK838" s="94"/>
      <c r="AL838" s="94"/>
      <c r="AM838" s="254"/>
      <c r="AN838" s="254"/>
      <c r="AO838" s="94"/>
      <c r="AP838" s="94"/>
      <c r="AQ838" s="94"/>
      <c r="AR838" s="94"/>
      <c r="AS838" s="207"/>
    </row>
    <row r="839" spans="13:45" ht="12.75">
      <c r="M839" s="104"/>
      <c r="O839" s="206" t="s">
        <v>911</v>
      </c>
      <c r="P839" s="94" t="s">
        <v>912</v>
      </c>
      <c r="Q839" s="180">
        <v>99846</v>
      </c>
      <c r="R839" s="258">
        <v>800</v>
      </c>
      <c r="S839" s="259">
        <v>50</v>
      </c>
      <c r="T839" s="213" t="s">
        <v>4994</v>
      </c>
      <c r="U839" s="213" t="s">
        <v>910</v>
      </c>
      <c r="V839" s="213" t="s">
        <v>3439</v>
      </c>
      <c r="W839" s="213" t="s">
        <v>3361</v>
      </c>
      <c r="X839" s="213" t="s">
        <v>3441</v>
      </c>
      <c r="Y839" s="213" t="s">
        <v>4995</v>
      </c>
      <c r="Z839" s="213" t="s">
        <v>855</v>
      </c>
      <c r="AA839" s="213">
        <v>50</v>
      </c>
      <c r="AB839" s="213">
        <v>50</v>
      </c>
      <c r="AC839" s="207" t="s">
        <v>4530</v>
      </c>
      <c r="AD839"/>
      <c r="AE839" s="206"/>
      <c r="AF839" s="94"/>
      <c r="AG839" s="94"/>
      <c r="AH839" s="94"/>
      <c r="AI839" s="94"/>
      <c r="AJ839" s="94"/>
      <c r="AK839" s="94"/>
      <c r="AL839" s="94"/>
      <c r="AM839" s="254"/>
      <c r="AN839" s="254"/>
      <c r="AO839" s="94"/>
      <c r="AP839" s="94"/>
      <c r="AQ839" s="94"/>
      <c r="AR839" s="94"/>
      <c r="AS839" s="207"/>
    </row>
    <row r="840" spans="13:45" ht="12.75">
      <c r="M840" s="104"/>
      <c r="O840" s="206" t="s">
        <v>913</v>
      </c>
      <c r="P840" s="94" t="s">
        <v>914</v>
      </c>
      <c r="Q840" s="180">
        <v>105477</v>
      </c>
      <c r="R840" s="258">
        <v>800</v>
      </c>
      <c r="S840" s="259">
        <v>50</v>
      </c>
      <c r="T840" s="213" t="s">
        <v>4994</v>
      </c>
      <c r="U840" s="213" t="s">
        <v>910</v>
      </c>
      <c r="V840" s="213" t="s">
        <v>3439</v>
      </c>
      <c r="W840" s="213" t="s">
        <v>3361</v>
      </c>
      <c r="X840" s="213" t="s">
        <v>3441</v>
      </c>
      <c r="Y840" s="213" t="s">
        <v>4996</v>
      </c>
      <c r="Z840" s="213" t="s">
        <v>855</v>
      </c>
      <c r="AA840" s="213">
        <v>50</v>
      </c>
      <c r="AB840" s="213">
        <v>50</v>
      </c>
      <c r="AC840" s="207" t="s">
        <v>4530</v>
      </c>
      <c r="AD840"/>
      <c r="AE840" s="206"/>
      <c r="AF840" s="94"/>
      <c r="AG840" s="94"/>
      <c r="AH840" s="94"/>
      <c r="AI840" s="94"/>
      <c r="AJ840" s="94"/>
      <c r="AK840" s="94"/>
      <c r="AL840" s="94"/>
      <c r="AM840" s="254"/>
      <c r="AN840" s="254"/>
      <c r="AO840" s="94"/>
      <c r="AP840" s="94"/>
      <c r="AQ840" s="94"/>
      <c r="AR840" s="94"/>
      <c r="AS840" s="207"/>
    </row>
    <row r="841" spans="13:45" ht="12.75">
      <c r="M841" s="104"/>
      <c r="O841" s="206" t="s">
        <v>915</v>
      </c>
      <c r="P841" s="94" t="s">
        <v>916</v>
      </c>
      <c r="Q841" s="180">
        <v>112694</v>
      </c>
      <c r="R841" s="258">
        <v>800</v>
      </c>
      <c r="S841" s="259">
        <v>50</v>
      </c>
      <c r="T841" s="213" t="s">
        <v>4994</v>
      </c>
      <c r="U841" s="213" t="s">
        <v>910</v>
      </c>
      <c r="V841" s="213" t="s">
        <v>3439</v>
      </c>
      <c r="W841" s="213" t="s">
        <v>3361</v>
      </c>
      <c r="X841" s="213" t="s">
        <v>3441</v>
      </c>
      <c r="Y841" s="213" t="s">
        <v>4999</v>
      </c>
      <c r="Z841" s="213" t="s">
        <v>855</v>
      </c>
      <c r="AA841" s="213">
        <v>50</v>
      </c>
      <c r="AB841" s="213">
        <v>50</v>
      </c>
      <c r="AC841" s="207" t="s">
        <v>4530</v>
      </c>
      <c r="AD841"/>
      <c r="AE841" s="206"/>
      <c r="AF841" s="94"/>
      <c r="AG841" s="94"/>
      <c r="AH841" s="94"/>
      <c r="AI841" s="94"/>
      <c r="AJ841" s="94"/>
      <c r="AK841" s="94"/>
      <c r="AL841" s="94"/>
      <c r="AM841" s="254"/>
      <c r="AN841" s="254"/>
      <c r="AO841" s="94"/>
      <c r="AP841" s="94"/>
      <c r="AQ841" s="94"/>
      <c r="AR841" s="94"/>
      <c r="AS841" s="207"/>
    </row>
    <row r="842" spans="13:45" ht="12.75">
      <c r="M842" s="104"/>
      <c r="O842" s="206" t="s">
        <v>917</v>
      </c>
      <c r="P842" s="94" t="s">
        <v>918</v>
      </c>
      <c r="Q842" s="180">
        <v>129686</v>
      </c>
      <c r="R842" s="258">
        <v>800</v>
      </c>
      <c r="S842" s="259">
        <v>50</v>
      </c>
      <c r="T842" s="213" t="s">
        <v>4994</v>
      </c>
      <c r="U842" s="213" t="s">
        <v>910</v>
      </c>
      <c r="V842" s="213" t="s">
        <v>3439</v>
      </c>
      <c r="W842" s="213" t="s">
        <v>3361</v>
      </c>
      <c r="X842" s="213" t="s">
        <v>3445</v>
      </c>
      <c r="Y842" s="213" t="s">
        <v>4996</v>
      </c>
      <c r="Z842" s="213" t="s">
        <v>855</v>
      </c>
      <c r="AA842" s="213">
        <v>50</v>
      </c>
      <c r="AB842" s="213">
        <v>50</v>
      </c>
      <c r="AC842" s="207" t="s">
        <v>4530</v>
      </c>
      <c r="AD842"/>
      <c r="AE842" s="206"/>
      <c r="AF842" s="94"/>
      <c r="AG842" s="94"/>
      <c r="AH842" s="94"/>
      <c r="AI842" s="94"/>
      <c r="AJ842" s="94"/>
      <c r="AK842" s="94"/>
      <c r="AL842" s="94"/>
      <c r="AM842" s="254"/>
      <c r="AN842" s="254"/>
      <c r="AO842" s="94"/>
      <c r="AP842" s="94"/>
      <c r="AQ842" s="94"/>
      <c r="AR842" s="94"/>
      <c r="AS842" s="207"/>
    </row>
    <row r="843" spans="13:45" ht="12.75">
      <c r="M843" s="104"/>
      <c r="O843" s="206" t="s">
        <v>919</v>
      </c>
      <c r="P843" s="94" t="s">
        <v>920</v>
      </c>
      <c r="Q843" s="180">
        <v>136902</v>
      </c>
      <c r="R843" s="258">
        <v>800</v>
      </c>
      <c r="S843" s="259">
        <v>50</v>
      </c>
      <c r="T843" s="213" t="s">
        <v>4994</v>
      </c>
      <c r="U843" s="213" t="s">
        <v>910</v>
      </c>
      <c r="V843" s="213" t="s">
        <v>3439</v>
      </c>
      <c r="W843" s="213" t="s">
        <v>3361</v>
      </c>
      <c r="X843" s="213" t="s">
        <v>3445</v>
      </c>
      <c r="Y843" s="213" t="s">
        <v>4999</v>
      </c>
      <c r="Z843" s="213" t="s">
        <v>855</v>
      </c>
      <c r="AA843" s="213">
        <v>50</v>
      </c>
      <c r="AB843" s="213">
        <v>50</v>
      </c>
      <c r="AC843" s="207" t="s">
        <v>4530</v>
      </c>
      <c r="AD843"/>
      <c r="AE843" s="206"/>
      <c r="AF843" s="94"/>
      <c r="AG843" s="94"/>
      <c r="AH843" s="94"/>
      <c r="AI843" s="94"/>
      <c r="AJ843" s="94"/>
      <c r="AK843" s="94"/>
      <c r="AL843" s="94"/>
      <c r="AM843" s="254"/>
      <c r="AN843" s="254"/>
      <c r="AO843" s="94"/>
      <c r="AP843" s="94"/>
      <c r="AQ843" s="94"/>
      <c r="AR843" s="94"/>
      <c r="AS843" s="207"/>
    </row>
    <row r="844" spans="13:45" ht="12.75">
      <c r="M844" s="104"/>
      <c r="O844" s="206" t="s">
        <v>921</v>
      </c>
      <c r="P844" s="94" t="s">
        <v>922</v>
      </c>
      <c r="Q844" s="180">
        <v>226882</v>
      </c>
      <c r="R844" s="258">
        <v>800</v>
      </c>
      <c r="S844" s="259">
        <v>50</v>
      </c>
      <c r="T844" s="213" t="s">
        <v>4994</v>
      </c>
      <c r="U844" s="213" t="s">
        <v>910</v>
      </c>
      <c r="V844" s="213" t="s">
        <v>3439</v>
      </c>
      <c r="W844" s="213" t="s">
        <v>3361</v>
      </c>
      <c r="X844" s="213" t="s">
        <v>852</v>
      </c>
      <c r="Y844" s="213" t="s">
        <v>4999</v>
      </c>
      <c r="Z844" s="213" t="s">
        <v>855</v>
      </c>
      <c r="AA844" s="213">
        <v>50</v>
      </c>
      <c r="AB844" s="213">
        <v>50</v>
      </c>
      <c r="AC844" s="207" t="s">
        <v>4530</v>
      </c>
      <c r="AD844"/>
      <c r="AE844" s="206"/>
      <c r="AF844" s="94"/>
      <c r="AG844" s="94"/>
      <c r="AH844" s="94"/>
      <c r="AI844" s="94"/>
      <c r="AJ844" s="94"/>
      <c r="AK844" s="94"/>
      <c r="AL844" s="94"/>
      <c r="AM844" s="254"/>
      <c r="AN844" s="254"/>
      <c r="AO844" s="94"/>
      <c r="AP844" s="94"/>
      <c r="AQ844" s="94"/>
      <c r="AR844" s="94"/>
      <c r="AS844" s="207"/>
    </row>
    <row r="845" spans="13:45" ht="12.75">
      <c r="M845" s="104"/>
      <c r="O845" s="206" t="s">
        <v>923</v>
      </c>
      <c r="P845" s="94" t="s">
        <v>924</v>
      </c>
      <c r="Q845" s="180">
        <v>229643</v>
      </c>
      <c r="R845" s="258">
        <v>1250</v>
      </c>
      <c r="S845" s="259">
        <v>42</v>
      </c>
      <c r="T845" s="213" t="s">
        <v>4994</v>
      </c>
      <c r="U845" s="213" t="s">
        <v>910</v>
      </c>
      <c r="V845" s="213" t="s">
        <v>3439</v>
      </c>
      <c r="W845" s="213" t="s">
        <v>3361</v>
      </c>
      <c r="X845" s="213" t="s">
        <v>852</v>
      </c>
      <c r="Y845" s="213" t="s">
        <v>4999</v>
      </c>
      <c r="Z845" s="213" t="s">
        <v>5026</v>
      </c>
      <c r="AA845" s="213">
        <v>36</v>
      </c>
      <c r="AB845" s="213">
        <v>42</v>
      </c>
      <c r="AC845" s="207" t="s">
        <v>4530</v>
      </c>
      <c r="AD845"/>
      <c r="AE845" s="206"/>
      <c r="AF845" s="94"/>
      <c r="AG845" s="94"/>
      <c r="AH845" s="94"/>
      <c r="AI845" s="94"/>
      <c r="AJ845" s="94"/>
      <c r="AK845" s="94"/>
      <c r="AL845" s="94"/>
      <c r="AM845" s="254"/>
      <c r="AN845" s="254"/>
      <c r="AO845" s="94"/>
      <c r="AP845" s="94"/>
      <c r="AQ845" s="94"/>
      <c r="AR845" s="94"/>
      <c r="AS845" s="207"/>
    </row>
    <row r="846" spans="13:45" ht="12.75">
      <c r="M846" s="104"/>
      <c r="O846" s="206" t="s">
        <v>925</v>
      </c>
      <c r="P846" s="94" t="s">
        <v>926</v>
      </c>
      <c r="Q846" s="180">
        <v>111320</v>
      </c>
      <c r="R846" s="258">
        <v>1250</v>
      </c>
      <c r="S846" s="259">
        <v>50</v>
      </c>
      <c r="T846" s="213" t="s">
        <v>4994</v>
      </c>
      <c r="U846" s="213" t="s">
        <v>910</v>
      </c>
      <c r="V846" s="213" t="s">
        <v>3439</v>
      </c>
      <c r="W846" s="213" t="s">
        <v>3361</v>
      </c>
      <c r="X846" s="213" t="s">
        <v>3441</v>
      </c>
      <c r="Y846" s="213" t="s">
        <v>4995</v>
      </c>
      <c r="Z846" s="213" t="s">
        <v>855</v>
      </c>
      <c r="AA846" s="213">
        <v>50</v>
      </c>
      <c r="AB846" s="213">
        <v>50</v>
      </c>
      <c r="AC846" s="207" t="s">
        <v>4530</v>
      </c>
      <c r="AD846"/>
      <c r="AE846" s="206"/>
      <c r="AF846" s="94"/>
      <c r="AG846" s="94"/>
      <c r="AH846" s="94"/>
      <c r="AI846" s="94"/>
      <c r="AJ846" s="94"/>
      <c r="AK846" s="94"/>
      <c r="AL846" s="94"/>
      <c r="AM846" s="254"/>
      <c r="AN846" s="254"/>
      <c r="AO846" s="94"/>
      <c r="AP846" s="94"/>
      <c r="AQ846" s="94"/>
      <c r="AR846" s="94"/>
      <c r="AS846" s="207"/>
    </row>
    <row r="847" spans="13:45" ht="12.75">
      <c r="M847" s="104"/>
      <c r="O847" s="206" t="s">
        <v>927</v>
      </c>
      <c r="P847" s="94" t="s">
        <v>928</v>
      </c>
      <c r="Q847" s="180">
        <v>116950</v>
      </c>
      <c r="R847" s="258">
        <v>1250</v>
      </c>
      <c r="S847" s="259">
        <v>50</v>
      </c>
      <c r="T847" s="213" t="s">
        <v>4994</v>
      </c>
      <c r="U847" s="213" t="s">
        <v>910</v>
      </c>
      <c r="V847" s="213" t="s">
        <v>3439</v>
      </c>
      <c r="W847" s="213" t="s">
        <v>3361</v>
      </c>
      <c r="X847" s="213" t="s">
        <v>3441</v>
      </c>
      <c r="Y847" s="213" t="s">
        <v>4996</v>
      </c>
      <c r="Z847" s="213" t="s">
        <v>855</v>
      </c>
      <c r="AA847" s="213">
        <v>50</v>
      </c>
      <c r="AB847" s="213">
        <v>50</v>
      </c>
      <c r="AC847" s="207" t="s">
        <v>4530</v>
      </c>
      <c r="AD847"/>
      <c r="AE847" s="206"/>
      <c r="AF847" s="94"/>
      <c r="AG847" s="94"/>
      <c r="AH847" s="94"/>
      <c r="AI847" s="94"/>
      <c r="AJ847" s="94"/>
      <c r="AK847" s="94"/>
      <c r="AL847" s="94"/>
      <c r="AM847" s="254"/>
      <c r="AN847" s="254"/>
      <c r="AO847" s="94"/>
      <c r="AP847" s="94"/>
      <c r="AQ847" s="94"/>
      <c r="AR847" s="94"/>
      <c r="AS847" s="207"/>
    </row>
    <row r="848" spans="13:45" ht="12.75">
      <c r="M848" s="104"/>
      <c r="O848" s="206" t="s">
        <v>929</v>
      </c>
      <c r="P848" s="94" t="s">
        <v>930</v>
      </c>
      <c r="Q848" s="180">
        <v>124167</v>
      </c>
      <c r="R848" s="258">
        <v>1250</v>
      </c>
      <c r="S848" s="259">
        <v>50</v>
      </c>
      <c r="T848" s="213" t="s">
        <v>4994</v>
      </c>
      <c r="U848" s="213" t="s">
        <v>910</v>
      </c>
      <c r="V848" s="213" t="s">
        <v>3439</v>
      </c>
      <c r="W848" s="213" t="s">
        <v>3361</v>
      </c>
      <c r="X848" s="213" t="s">
        <v>3441</v>
      </c>
      <c r="Y848" s="213" t="s">
        <v>4999</v>
      </c>
      <c r="Z848" s="213" t="s">
        <v>855</v>
      </c>
      <c r="AA848" s="213">
        <v>50</v>
      </c>
      <c r="AB848" s="213">
        <v>50</v>
      </c>
      <c r="AC848" s="207" t="s">
        <v>4530</v>
      </c>
      <c r="AD848"/>
      <c r="AE848" s="206"/>
      <c r="AF848" s="94"/>
      <c r="AG848" s="94"/>
      <c r="AH848" s="94"/>
      <c r="AI848" s="94"/>
      <c r="AJ848" s="94"/>
      <c r="AK848" s="94"/>
      <c r="AL848" s="94"/>
      <c r="AM848" s="254"/>
      <c r="AN848" s="254"/>
      <c r="AO848" s="94"/>
      <c r="AP848" s="94"/>
      <c r="AQ848" s="94"/>
      <c r="AR848" s="94"/>
      <c r="AS848" s="207"/>
    </row>
    <row r="849" spans="13:45" ht="12.75">
      <c r="M849" s="104"/>
      <c r="O849" s="206" t="s">
        <v>931</v>
      </c>
      <c r="P849" s="94" t="s">
        <v>932</v>
      </c>
      <c r="Q849" s="180">
        <v>141159</v>
      </c>
      <c r="R849" s="258">
        <v>1250</v>
      </c>
      <c r="S849" s="259">
        <v>50</v>
      </c>
      <c r="T849" s="213" t="s">
        <v>4994</v>
      </c>
      <c r="U849" s="213" t="s">
        <v>910</v>
      </c>
      <c r="V849" s="213" t="s">
        <v>3439</v>
      </c>
      <c r="W849" s="213" t="s">
        <v>3361</v>
      </c>
      <c r="X849" s="213" t="s">
        <v>3445</v>
      </c>
      <c r="Y849" s="213" t="s">
        <v>4996</v>
      </c>
      <c r="Z849" s="213" t="s">
        <v>855</v>
      </c>
      <c r="AA849" s="213">
        <v>50</v>
      </c>
      <c r="AB849" s="213">
        <v>50</v>
      </c>
      <c r="AC849" s="207" t="s">
        <v>4530</v>
      </c>
      <c r="AD849"/>
      <c r="AE849" s="206"/>
      <c r="AF849" s="94"/>
      <c r="AG849" s="94"/>
      <c r="AH849" s="94"/>
      <c r="AI849" s="94"/>
      <c r="AJ849" s="94"/>
      <c r="AK849" s="94"/>
      <c r="AL849" s="94"/>
      <c r="AM849" s="254"/>
      <c r="AN849" s="254"/>
      <c r="AO849" s="94"/>
      <c r="AP849" s="94"/>
      <c r="AQ849" s="94"/>
      <c r="AR849" s="94"/>
      <c r="AS849" s="207"/>
    </row>
    <row r="850" spans="13:45" ht="12.75">
      <c r="M850" s="104"/>
      <c r="O850" s="206" t="s">
        <v>933</v>
      </c>
      <c r="P850" s="94" t="s">
        <v>934</v>
      </c>
      <c r="Q850" s="180">
        <v>148376</v>
      </c>
      <c r="R850" s="258">
        <v>1250</v>
      </c>
      <c r="S850" s="259">
        <v>50</v>
      </c>
      <c r="T850" s="213" t="s">
        <v>4994</v>
      </c>
      <c r="U850" s="213" t="s">
        <v>910</v>
      </c>
      <c r="V850" s="213" t="s">
        <v>3439</v>
      </c>
      <c r="W850" s="213" t="s">
        <v>3361</v>
      </c>
      <c r="X850" s="213" t="s">
        <v>3445</v>
      </c>
      <c r="Y850" s="213" t="s">
        <v>4999</v>
      </c>
      <c r="Z850" s="213" t="s">
        <v>855</v>
      </c>
      <c r="AA850" s="213">
        <v>50</v>
      </c>
      <c r="AB850" s="213">
        <v>50</v>
      </c>
      <c r="AC850" s="207" t="s">
        <v>4530</v>
      </c>
      <c r="AD850"/>
      <c r="AE850" s="206"/>
      <c r="AF850" s="94"/>
      <c r="AG850" s="94"/>
      <c r="AH850" s="94"/>
      <c r="AI850" s="94"/>
      <c r="AJ850" s="94"/>
      <c r="AK850" s="94"/>
      <c r="AL850" s="94"/>
      <c r="AM850" s="254"/>
      <c r="AN850" s="254"/>
      <c r="AO850" s="94"/>
      <c r="AP850" s="94"/>
      <c r="AQ850" s="94"/>
      <c r="AR850" s="94"/>
      <c r="AS850" s="207"/>
    </row>
    <row r="851" spans="13:45" ht="12.75">
      <c r="M851" s="104"/>
      <c r="O851" s="206" t="s">
        <v>935</v>
      </c>
      <c r="P851" s="94" t="s">
        <v>936</v>
      </c>
      <c r="Q851" s="180">
        <v>238356</v>
      </c>
      <c r="R851" s="258">
        <v>1250</v>
      </c>
      <c r="S851" s="259">
        <v>50</v>
      </c>
      <c r="T851" s="213" t="s">
        <v>4994</v>
      </c>
      <c r="U851" s="213" t="s">
        <v>910</v>
      </c>
      <c r="V851" s="213" t="s">
        <v>3439</v>
      </c>
      <c r="W851" s="213" t="s">
        <v>3361</v>
      </c>
      <c r="X851" s="213" t="s">
        <v>852</v>
      </c>
      <c r="Y851" s="213" t="s">
        <v>4999</v>
      </c>
      <c r="Z851" s="213" t="s">
        <v>855</v>
      </c>
      <c r="AA851" s="213">
        <v>50</v>
      </c>
      <c r="AB851" s="213">
        <v>50</v>
      </c>
      <c r="AC851" s="207" t="s">
        <v>4530</v>
      </c>
      <c r="AD851"/>
      <c r="AE851" s="206"/>
      <c r="AF851" s="94"/>
      <c r="AG851" s="94"/>
      <c r="AH851" s="94"/>
      <c r="AI851" s="94"/>
      <c r="AJ851" s="94"/>
      <c r="AK851" s="94"/>
      <c r="AL851" s="94"/>
      <c r="AM851" s="254"/>
      <c r="AN851" s="254"/>
      <c r="AO851" s="94"/>
      <c r="AP851" s="94"/>
      <c r="AQ851" s="94"/>
      <c r="AR851" s="94"/>
      <c r="AS851" s="207"/>
    </row>
    <row r="852" spans="13:45" ht="12.75">
      <c r="M852" s="104"/>
      <c r="O852" s="206" t="s">
        <v>937</v>
      </c>
      <c r="P852" s="94" t="s">
        <v>938</v>
      </c>
      <c r="Q852" s="180">
        <v>238137</v>
      </c>
      <c r="R852" s="258">
        <v>800</v>
      </c>
      <c r="S852" s="259">
        <v>42</v>
      </c>
      <c r="T852" s="213" t="s">
        <v>4994</v>
      </c>
      <c r="U852" s="213" t="s">
        <v>910</v>
      </c>
      <c r="V852" s="213" t="s">
        <v>3443</v>
      </c>
      <c r="W852" s="213" t="s">
        <v>3572</v>
      </c>
      <c r="X852" s="213" t="s">
        <v>852</v>
      </c>
      <c r="Y852" s="213" t="s">
        <v>4999</v>
      </c>
      <c r="Z852" s="213" t="s">
        <v>5026</v>
      </c>
      <c r="AA852" s="213">
        <v>36</v>
      </c>
      <c r="AB852" s="213">
        <v>42</v>
      </c>
      <c r="AC852" s="207" t="s">
        <v>4530</v>
      </c>
      <c r="AD852"/>
      <c r="AE852" s="206"/>
      <c r="AF852" s="94"/>
      <c r="AG852" s="94"/>
      <c r="AH852" s="94"/>
      <c r="AI852" s="94"/>
      <c r="AJ852" s="94"/>
      <c r="AK852" s="94"/>
      <c r="AL852" s="94"/>
      <c r="AM852" s="254"/>
      <c r="AN852" s="254"/>
      <c r="AO852" s="94"/>
      <c r="AP852" s="94"/>
      <c r="AQ852" s="94"/>
      <c r="AR852" s="94"/>
      <c r="AS852" s="207"/>
    </row>
    <row r="853" spans="13:45" ht="12.75">
      <c r="M853" s="104"/>
      <c r="O853" s="206" t="s">
        <v>939</v>
      </c>
      <c r="P853" s="94" t="s">
        <v>940</v>
      </c>
      <c r="Q853" s="180">
        <v>118329</v>
      </c>
      <c r="R853" s="258">
        <v>800</v>
      </c>
      <c r="S853" s="259">
        <v>50</v>
      </c>
      <c r="T853" s="213" t="s">
        <v>4994</v>
      </c>
      <c r="U853" s="213" t="s">
        <v>910</v>
      </c>
      <c r="V853" s="213" t="s">
        <v>3443</v>
      </c>
      <c r="W853" s="213" t="s">
        <v>3572</v>
      </c>
      <c r="X853" s="213" t="s">
        <v>3441</v>
      </c>
      <c r="Y853" s="213" t="s">
        <v>4995</v>
      </c>
      <c r="Z853" s="213" t="s">
        <v>855</v>
      </c>
      <c r="AA853" s="213">
        <v>50</v>
      </c>
      <c r="AB853" s="213">
        <v>50</v>
      </c>
      <c r="AC853" s="207" t="s">
        <v>4530</v>
      </c>
      <c r="AD853"/>
      <c r="AE853" s="206"/>
      <c r="AF853" s="94"/>
      <c r="AG853" s="94"/>
      <c r="AH853" s="94"/>
      <c r="AI853" s="94"/>
      <c r="AJ853" s="94"/>
      <c r="AK853" s="94"/>
      <c r="AL853" s="94"/>
      <c r="AM853" s="254"/>
      <c r="AN853" s="254"/>
      <c r="AO853" s="94"/>
      <c r="AP853" s="94"/>
      <c r="AQ853" s="94"/>
      <c r="AR853" s="94"/>
      <c r="AS853" s="207"/>
    </row>
    <row r="854" spans="13:45" ht="12.75">
      <c r="M854" s="104"/>
      <c r="O854" s="206" t="s">
        <v>941</v>
      </c>
      <c r="P854" s="94" t="s">
        <v>942</v>
      </c>
      <c r="Q854" s="180">
        <v>123959</v>
      </c>
      <c r="R854" s="258">
        <v>800</v>
      </c>
      <c r="S854" s="259">
        <v>50</v>
      </c>
      <c r="T854" s="213" t="s">
        <v>4994</v>
      </c>
      <c r="U854" s="213" t="s">
        <v>910</v>
      </c>
      <c r="V854" s="213" t="s">
        <v>3443</v>
      </c>
      <c r="W854" s="213" t="s">
        <v>3572</v>
      </c>
      <c r="X854" s="213" t="s">
        <v>3441</v>
      </c>
      <c r="Y854" s="213" t="s">
        <v>4996</v>
      </c>
      <c r="Z854" s="213" t="s">
        <v>855</v>
      </c>
      <c r="AA854" s="213">
        <v>50</v>
      </c>
      <c r="AB854" s="213">
        <v>50</v>
      </c>
      <c r="AC854" s="207" t="s">
        <v>4530</v>
      </c>
      <c r="AD854"/>
      <c r="AE854" s="206"/>
      <c r="AF854" s="94"/>
      <c r="AG854" s="94"/>
      <c r="AH854" s="94"/>
      <c r="AI854" s="94"/>
      <c r="AJ854" s="94"/>
      <c r="AK854" s="94"/>
      <c r="AL854" s="94"/>
      <c r="AM854" s="254"/>
      <c r="AN854" s="254"/>
      <c r="AO854" s="94"/>
      <c r="AP854" s="94"/>
      <c r="AQ854" s="94"/>
      <c r="AR854" s="94"/>
      <c r="AS854" s="207"/>
    </row>
    <row r="855" spans="13:45" ht="12.75">
      <c r="M855" s="104"/>
      <c r="O855" s="206" t="s">
        <v>943</v>
      </c>
      <c r="P855" s="94" t="s">
        <v>944</v>
      </c>
      <c r="Q855" s="180">
        <v>131176</v>
      </c>
      <c r="R855" s="258">
        <v>800</v>
      </c>
      <c r="S855" s="259">
        <v>50</v>
      </c>
      <c r="T855" s="213" t="s">
        <v>4994</v>
      </c>
      <c r="U855" s="213" t="s">
        <v>910</v>
      </c>
      <c r="V855" s="213" t="s">
        <v>3443</v>
      </c>
      <c r="W855" s="213" t="s">
        <v>3572</v>
      </c>
      <c r="X855" s="213" t="s">
        <v>3441</v>
      </c>
      <c r="Y855" s="213" t="s">
        <v>4999</v>
      </c>
      <c r="Z855" s="213" t="s">
        <v>855</v>
      </c>
      <c r="AA855" s="213">
        <v>50</v>
      </c>
      <c r="AB855" s="213">
        <v>50</v>
      </c>
      <c r="AC855" s="207" t="s">
        <v>4530</v>
      </c>
      <c r="AD855"/>
      <c r="AE855" s="206"/>
      <c r="AF855" s="94"/>
      <c r="AG855" s="94"/>
      <c r="AH855" s="94"/>
      <c r="AI855" s="94"/>
      <c r="AJ855" s="94"/>
      <c r="AK855" s="94"/>
      <c r="AL855" s="94"/>
      <c r="AM855" s="254"/>
      <c r="AN855" s="254"/>
      <c r="AO855" s="94"/>
      <c r="AP855" s="94"/>
      <c r="AQ855" s="94"/>
      <c r="AR855" s="94"/>
      <c r="AS855" s="207"/>
    </row>
    <row r="856" spans="13:45" ht="12.75">
      <c r="M856" s="104"/>
      <c r="O856" s="206" t="s">
        <v>945</v>
      </c>
      <c r="P856" s="94" t="s">
        <v>946</v>
      </c>
      <c r="Q856" s="180">
        <v>148169</v>
      </c>
      <c r="R856" s="258">
        <v>800</v>
      </c>
      <c r="S856" s="259">
        <v>50</v>
      </c>
      <c r="T856" s="213" t="s">
        <v>4994</v>
      </c>
      <c r="U856" s="213" t="s">
        <v>910</v>
      </c>
      <c r="V856" s="213" t="s">
        <v>3443</v>
      </c>
      <c r="W856" s="213" t="s">
        <v>3572</v>
      </c>
      <c r="X856" s="213" t="s">
        <v>3445</v>
      </c>
      <c r="Y856" s="213" t="s">
        <v>4996</v>
      </c>
      <c r="Z856" s="213" t="s">
        <v>855</v>
      </c>
      <c r="AA856" s="213">
        <v>50</v>
      </c>
      <c r="AB856" s="213">
        <v>50</v>
      </c>
      <c r="AC856" s="207" t="s">
        <v>4530</v>
      </c>
      <c r="AD856"/>
      <c r="AE856" s="206"/>
      <c r="AF856" s="94"/>
      <c r="AG856" s="94"/>
      <c r="AH856" s="94"/>
      <c r="AI856" s="94"/>
      <c r="AJ856" s="94"/>
      <c r="AK856" s="94"/>
      <c r="AL856" s="94"/>
      <c r="AM856" s="254"/>
      <c r="AN856" s="254"/>
      <c r="AO856" s="94"/>
      <c r="AP856" s="94"/>
      <c r="AQ856" s="94"/>
      <c r="AR856" s="94"/>
      <c r="AS856" s="207"/>
    </row>
    <row r="857" spans="13:45" ht="12.75">
      <c r="M857" s="104"/>
      <c r="O857" s="206" t="s">
        <v>947</v>
      </c>
      <c r="P857" s="94" t="s">
        <v>948</v>
      </c>
      <c r="Q857" s="180">
        <v>155385</v>
      </c>
      <c r="R857" s="258">
        <v>800</v>
      </c>
      <c r="S857" s="259">
        <v>50</v>
      </c>
      <c r="T857" s="213" t="s">
        <v>4994</v>
      </c>
      <c r="U857" s="213" t="s">
        <v>910</v>
      </c>
      <c r="V857" s="213" t="s">
        <v>3443</v>
      </c>
      <c r="W857" s="213" t="s">
        <v>3572</v>
      </c>
      <c r="X857" s="213" t="s">
        <v>3445</v>
      </c>
      <c r="Y857" s="213" t="s">
        <v>4999</v>
      </c>
      <c r="Z857" s="213" t="s">
        <v>855</v>
      </c>
      <c r="AA857" s="213">
        <v>50</v>
      </c>
      <c r="AB857" s="213">
        <v>50</v>
      </c>
      <c r="AC857" s="207" t="s">
        <v>4530</v>
      </c>
      <c r="AD857"/>
      <c r="AE857" s="206"/>
      <c r="AF857" s="94"/>
      <c r="AG857" s="94"/>
      <c r="AH857" s="94"/>
      <c r="AI857" s="94"/>
      <c r="AJ857" s="94"/>
      <c r="AK857" s="94"/>
      <c r="AL857" s="94"/>
      <c r="AM857" s="254"/>
      <c r="AN857" s="254"/>
      <c r="AO857" s="94"/>
      <c r="AP857" s="94"/>
      <c r="AQ857" s="94"/>
      <c r="AR857" s="94"/>
      <c r="AS857" s="207"/>
    </row>
    <row r="858" spans="13:45" ht="12.75">
      <c r="M858" s="104"/>
      <c r="O858" s="206" t="s">
        <v>949</v>
      </c>
      <c r="P858" s="94" t="s">
        <v>950</v>
      </c>
      <c r="Q858" s="180">
        <v>245364</v>
      </c>
      <c r="R858" s="258">
        <v>800</v>
      </c>
      <c r="S858" s="259">
        <v>50</v>
      </c>
      <c r="T858" s="213" t="s">
        <v>4994</v>
      </c>
      <c r="U858" s="213" t="s">
        <v>910</v>
      </c>
      <c r="V858" s="213" t="s">
        <v>3443</v>
      </c>
      <c r="W858" s="213" t="s">
        <v>3572</v>
      </c>
      <c r="X858" s="213" t="s">
        <v>852</v>
      </c>
      <c r="Y858" s="213" t="s">
        <v>4999</v>
      </c>
      <c r="Z858" s="213" t="s">
        <v>855</v>
      </c>
      <c r="AA858" s="213">
        <v>50</v>
      </c>
      <c r="AB858" s="213">
        <v>50</v>
      </c>
      <c r="AC858" s="207" t="s">
        <v>4530</v>
      </c>
      <c r="AD858"/>
      <c r="AE858" s="206"/>
      <c r="AF858" s="94"/>
      <c r="AG858" s="94"/>
      <c r="AH858" s="94"/>
      <c r="AI858" s="94"/>
      <c r="AJ858" s="94"/>
      <c r="AK858" s="94"/>
      <c r="AL858" s="94"/>
      <c r="AM858" s="254"/>
      <c r="AN858" s="254"/>
      <c r="AO858" s="94"/>
      <c r="AP858" s="94"/>
      <c r="AQ858" s="94"/>
      <c r="AR858" s="94"/>
      <c r="AS858" s="207"/>
    </row>
    <row r="859" spans="13:45" ht="12.75">
      <c r="M859" s="104"/>
      <c r="O859" s="206" t="s">
        <v>951</v>
      </c>
      <c r="P859" s="94" t="s">
        <v>952</v>
      </c>
      <c r="Q859" s="180">
        <v>235504</v>
      </c>
      <c r="R859" s="258">
        <v>1250</v>
      </c>
      <c r="S859" s="259">
        <v>42</v>
      </c>
      <c r="T859" s="213" t="s">
        <v>4994</v>
      </c>
      <c r="U859" s="213" t="s">
        <v>910</v>
      </c>
      <c r="V859" s="213" t="s">
        <v>3443</v>
      </c>
      <c r="W859" s="213" t="s">
        <v>3572</v>
      </c>
      <c r="X859" s="213" t="s">
        <v>852</v>
      </c>
      <c r="Y859" s="213" t="s">
        <v>4999</v>
      </c>
      <c r="Z859" s="213" t="s">
        <v>5026</v>
      </c>
      <c r="AA859" s="213">
        <v>36</v>
      </c>
      <c r="AB859" s="213">
        <v>42</v>
      </c>
      <c r="AC859" s="207" t="s">
        <v>4530</v>
      </c>
      <c r="AD859"/>
      <c r="AE859" s="206"/>
      <c r="AF859" s="94"/>
      <c r="AG859" s="94"/>
      <c r="AH859" s="94"/>
      <c r="AI859" s="94"/>
      <c r="AJ859" s="94"/>
      <c r="AK859" s="94"/>
      <c r="AL859" s="94"/>
      <c r="AM859" s="254"/>
      <c r="AN859" s="254"/>
      <c r="AO859" s="94"/>
      <c r="AP859" s="94"/>
      <c r="AQ859" s="94"/>
      <c r="AR859" s="94"/>
      <c r="AS859" s="207"/>
    </row>
    <row r="860" spans="13:45" ht="12.75">
      <c r="M860" s="104"/>
      <c r="O860" s="206" t="s">
        <v>953</v>
      </c>
      <c r="P860" s="94" t="s">
        <v>954</v>
      </c>
      <c r="Q860" s="180">
        <v>115695</v>
      </c>
      <c r="R860" s="258">
        <v>1250</v>
      </c>
      <c r="S860" s="259">
        <v>50</v>
      </c>
      <c r="T860" s="213" t="s">
        <v>4994</v>
      </c>
      <c r="U860" s="213" t="s">
        <v>910</v>
      </c>
      <c r="V860" s="213" t="s">
        <v>3443</v>
      </c>
      <c r="W860" s="213" t="s">
        <v>3572</v>
      </c>
      <c r="X860" s="213" t="s">
        <v>3441</v>
      </c>
      <c r="Y860" s="213" t="s">
        <v>4995</v>
      </c>
      <c r="Z860" s="213" t="s">
        <v>855</v>
      </c>
      <c r="AA860" s="213">
        <v>50</v>
      </c>
      <c r="AB860" s="213">
        <v>50</v>
      </c>
      <c r="AC860" s="207" t="s">
        <v>4530</v>
      </c>
      <c r="AD860"/>
      <c r="AE860" s="206"/>
      <c r="AF860" s="94"/>
      <c r="AG860" s="94"/>
      <c r="AH860" s="94"/>
      <c r="AI860" s="94"/>
      <c r="AJ860" s="94"/>
      <c r="AK860" s="94"/>
      <c r="AL860" s="94"/>
      <c r="AM860" s="254"/>
      <c r="AN860" s="254"/>
      <c r="AO860" s="94"/>
      <c r="AP860" s="94"/>
      <c r="AQ860" s="94"/>
      <c r="AR860" s="94"/>
      <c r="AS860" s="207"/>
    </row>
    <row r="861" spans="13:45" ht="12.75">
      <c r="M861" s="104"/>
      <c r="O861" s="206" t="s">
        <v>955</v>
      </c>
      <c r="P861" s="94" t="s">
        <v>956</v>
      </c>
      <c r="Q861" s="180">
        <v>121326</v>
      </c>
      <c r="R861" s="258">
        <v>1250</v>
      </c>
      <c r="S861" s="259">
        <v>50</v>
      </c>
      <c r="T861" s="213" t="s">
        <v>4994</v>
      </c>
      <c r="U861" s="213" t="s">
        <v>910</v>
      </c>
      <c r="V861" s="213" t="s">
        <v>3443</v>
      </c>
      <c r="W861" s="213" t="s">
        <v>3572</v>
      </c>
      <c r="X861" s="213" t="s">
        <v>3441</v>
      </c>
      <c r="Y861" s="213" t="s">
        <v>4996</v>
      </c>
      <c r="Z861" s="213" t="s">
        <v>855</v>
      </c>
      <c r="AA861" s="213">
        <v>50</v>
      </c>
      <c r="AB861" s="213">
        <v>50</v>
      </c>
      <c r="AC861" s="207" t="s">
        <v>4530</v>
      </c>
      <c r="AD861"/>
      <c r="AE861" s="206"/>
      <c r="AF861" s="94"/>
      <c r="AG861" s="94"/>
      <c r="AH861" s="94"/>
      <c r="AI861" s="94"/>
      <c r="AJ861" s="94"/>
      <c r="AK861" s="94"/>
      <c r="AL861" s="94"/>
      <c r="AM861" s="254"/>
      <c r="AN861" s="254"/>
      <c r="AO861" s="94"/>
      <c r="AP861" s="94"/>
      <c r="AQ861" s="94"/>
      <c r="AR861" s="94"/>
      <c r="AS861" s="207"/>
    </row>
    <row r="862" spans="13:45" ht="12.75">
      <c r="M862" s="104"/>
      <c r="O862" s="206" t="s">
        <v>957</v>
      </c>
      <c r="P862" s="94" t="s">
        <v>958</v>
      </c>
      <c r="Q862" s="180">
        <v>128543</v>
      </c>
      <c r="R862" s="258">
        <v>1250</v>
      </c>
      <c r="S862" s="259">
        <v>50</v>
      </c>
      <c r="T862" s="213" t="s">
        <v>4994</v>
      </c>
      <c r="U862" s="213" t="s">
        <v>910</v>
      </c>
      <c r="V862" s="213" t="s">
        <v>3443</v>
      </c>
      <c r="W862" s="213" t="s">
        <v>3572</v>
      </c>
      <c r="X862" s="213" t="s">
        <v>3441</v>
      </c>
      <c r="Y862" s="213" t="s">
        <v>4999</v>
      </c>
      <c r="Z862" s="213" t="s">
        <v>855</v>
      </c>
      <c r="AA862" s="213">
        <v>50</v>
      </c>
      <c r="AB862" s="213">
        <v>50</v>
      </c>
      <c r="AC862" s="207" t="s">
        <v>4530</v>
      </c>
      <c r="AD862"/>
      <c r="AE862" s="206"/>
      <c r="AF862" s="94"/>
      <c r="AG862" s="94"/>
      <c r="AH862" s="94"/>
      <c r="AI862" s="94"/>
      <c r="AJ862" s="94"/>
      <c r="AK862" s="94"/>
      <c r="AL862" s="94"/>
      <c r="AM862" s="254"/>
      <c r="AN862" s="254"/>
      <c r="AO862" s="94"/>
      <c r="AP862" s="94"/>
      <c r="AQ862" s="94"/>
      <c r="AR862" s="94"/>
      <c r="AS862" s="207"/>
    </row>
    <row r="863" spans="13:45" ht="12.75">
      <c r="M863" s="104"/>
      <c r="O863" s="206" t="s">
        <v>959</v>
      </c>
      <c r="P863" s="94" t="s">
        <v>960</v>
      </c>
      <c r="Q863" s="180">
        <v>145536</v>
      </c>
      <c r="R863" s="258">
        <v>1250</v>
      </c>
      <c r="S863" s="259">
        <v>50</v>
      </c>
      <c r="T863" s="213" t="s">
        <v>4994</v>
      </c>
      <c r="U863" s="213" t="s">
        <v>910</v>
      </c>
      <c r="V863" s="213" t="s">
        <v>3443</v>
      </c>
      <c r="W863" s="213" t="s">
        <v>3572</v>
      </c>
      <c r="X863" s="213" t="s">
        <v>3445</v>
      </c>
      <c r="Y863" s="213" t="s">
        <v>4996</v>
      </c>
      <c r="Z863" s="213" t="s">
        <v>855</v>
      </c>
      <c r="AA863" s="213">
        <v>50</v>
      </c>
      <c r="AB863" s="213">
        <v>50</v>
      </c>
      <c r="AC863" s="207" t="s">
        <v>4530</v>
      </c>
      <c r="AD863"/>
      <c r="AE863" s="206"/>
      <c r="AF863" s="94"/>
      <c r="AG863" s="94"/>
      <c r="AH863" s="94"/>
      <c r="AI863" s="94"/>
      <c r="AJ863" s="94"/>
      <c r="AK863" s="94"/>
      <c r="AL863" s="94"/>
      <c r="AM863" s="254"/>
      <c r="AN863" s="254"/>
      <c r="AO863" s="94"/>
      <c r="AP863" s="94"/>
      <c r="AQ863" s="94"/>
      <c r="AR863" s="94"/>
      <c r="AS863" s="207"/>
    </row>
    <row r="864" spans="13:45" ht="12.75">
      <c r="M864" s="104"/>
      <c r="O864" s="206" t="s">
        <v>961</v>
      </c>
      <c r="P864" s="94" t="s">
        <v>962</v>
      </c>
      <c r="Q864" s="180">
        <v>152751</v>
      </c>
      <c r="R864" s="258">
        <v>1250</v>
      </c>
      <c r="S864" s="259">
        <v>50</v>
      </c>
      <c r="T864" s="213" t="s">
        <v>4994</v>
      </c>
      <c r="U864" s="213" t="s">
        <v>910</v>
      </c>
      <c r="V864" s="213" t="s">
        <v>3443</v>
      </c>
      <c r="W864" s="213" t="s">
        <v>3572</v>
      </c>
      <c r="X864" s="213" t="s">
        <v>3445</v>
      </c>
      <c r="Y864" s="213" t="s">
        <v>4999</v>
      </c>
      <c r="Z864" s="213" t="s">
        <v>855</v>
      </c>
      <c r="AA864" s="213">
        <v>50</v>
      </c>
      <c r="AB864" s="213">
        <v>50</v>
      </c>
      <c r="AC864" s="207" t="s">
        <v>4530</v>
      </c>
      <c r="AD864"/>
      <c r="AE864" s="206"/>
      <c r="AF864" s="94"/>
      <c r="AG864" s="94"/>
      <c r="AH864" s="94"/>
      <c r="AI864" s="94"/>
      <c r="AJ864" s="94"/>
      <c r="AK864" s="94"/>
      <c r="AL864" s="94"/>
      <c r="AM864" s="254"/>
      <c r="AN864" s="254"/>
      <c r="AO864" s="94"/>
      <c r="AP864" s="94"/>
      <c r="AQ864" s="94"/>
      <c r="AR864" s="94"/>
      <c r="AS864" s="207"/>
    </row>
    <row r="865" spans="13:45" ht="12.75">
      <c r="M865" s="104"/>
      <c r="O865" s="206" t="s">
        <v>963</v>
      </c>
      <c r="P865" s="94" t="s">
        <v>964</v>
      </c>
      <c r="Q865" s="180">
        <v>242731</v>
      </c>
      <c r="R865" s="258">
        <v>1250</v>
      </c>
      <c r="S865" s="259">
        <v>50</v>
      </c>
      <c r="T865" s="213" t="s">
        <v>4994</v>
      </c>
      <c r="U865" s="213" t="s">
        <v>910</v>
      </c>
      <c r="V865" s="213" t="s">
        <v>3443</v>
      </c>
      <c r="W865" s="213" t="s">
        <v>3572</v>
      </c>
      <c r="X865" s="213" t="s">
        <v>852</v>
      </c>
      <c r="Y865" s="213" t="s">
        <v>4999</v>
      </c>
      <c r="Z865" s="213" t="s">
        <v>855</v>
      </c>
      <c r="AA865" s="213">
        <v>50</v>
      </c>
      <c r="AB865" s="213">
        <v>50</v>
      </c>
      <c r="AC865" s="207" t="s">
        <v>4530</v>
      </c>
      <c r="AD865"/>
      <c r="AE865" s="206"/>
      <c r="AF865" s="94"/>
      <c r="AG865" s="94"/>
      <c r="AH865" s="94"/>
      <c r="AI865" s="94"/>
      <c r="AJ865" s="94"/>
      <c r="AK865" s="94"/>
      <c r="AL865" s="94"/>
      <c r="AM865" s="254"/>
      <c r="AN865" s="254"/>
      <c r="AO865" s="94"/>
      <c r="AP865" s="94"/>
      <c r="AQ865" s="94"/>
      <c r="AR865" s="94"/>
      <c r="AS865" s="207"/>
    </row>
    <row r="866" spans="13:45" ht="12.75">
      <c r="M866" s="104"/>
      <c r="O866" s="206" t="s">
        <v>965</v>
      </c>
      <c r="P866" s="94" t="s">
        <v>966</v>
      </c>
      <c r="Q866" s="180">
        <v>218773</v>
      </c>
      <c r="R866" s="258">
        <v>1250</v>
      </c>
      <c r="S866" s="259">
        <v>65</v>
      </c>
      <c r="T866" s="213" t="s">
        <v>4997</v>
      </c>
      <c r="U866" s="213" t="s">
        <v>851</v>
      </c>
      <c r="V866" s="213" t="s">
        <v>3439</v>
      </c>
      <c r="W866" s="213" t="s">
        <v>3361</v>
      </c>
      <c r="X866" s="213" t="s">
        <v>852</v>
      </c>
      <c r="Y866" s="213" t="s">
        <v>4999</v>
      </c>
      <c r="Z866" s="213" t="s">
        <v>3634</v>
      </c>
      <c r="AA866" s="213">
        <v>55</v>
      </c>
      <c r="AB866" s="213">
        <v>65</v>
      </c>
      <c r="AC866" s="207" t="s">
        <v>4530</v>
      </c>
      <c r="AD866"/>
      <c r="AE866" s="206"/>
      <c r="AF866" s="94"/>
      <c r="AG866" s="94"/>
      <c r="AH866" s="94"/>
      <c r="AI866" s="94"/>
      <c r="AJ866" s="94"/>
      <c r="AK866" s="94"/>
      <c r="AL866" s="94"/>
      <c r="AM866" s="254"/>
      <c r="AN866" s="254"/>
      <c r="AO866" s="94"/>
      <c r="AP866" s="94"/>
      <c r="AQ866" s="94"/>
      <c r="AR866" s="94"/>
      <c r="AS866" s="207"/>
    </row>
    <row r="867" spans="13:45" ht="12.75">
      <c r="M867" s="104"/>
      <c r="O867" s="206" t="s">
        <v>967</v>
      </c>
      <c r="P867" s="94" t="s">
        <v>968</v>
      </c>
      <c r="Q867" s="180">
        <v>254637</v>
      </c>
      <c r="R867" s="258">
        <v>1250</v>
      </c>
      <c r="S867" s="259" t="s">
        <v>5004</v>
      </c>
      <c r="T867" s="213" t="s">
        <v>4997</v>
      </c>
      <c r="U867" s="213" t="s">
        <v>851</v>
      </c>
      <c r="V867" s="213" t="s">
        <v>3439</v>
      </c>
      <c r="W867" s="213" t="s">
        <v>3361</v>
      </c>
      <c r="X867" s="213" t="s">
        <v>852</v>
      </c>
      <c r="Y867" s="213" t="s">
        <v>4999</v>
      </c>
      <c r="Z867" s="213" t="s">
        <v>3650</v>
      </c>
      <c r="AA867" s="213">
        <v>10</v>
      </c>
      <c r="AB867" s="213">
        <v>130</v>
      </c>
      <c r="AC867" s="207" t="s">
        <v>4530</v>
      </c>
      <c r="AD867"/>
      <c r="AE867" s="206"/>
      <c r="AF867" s="94"/>
      <c r="AG867" s="94"/>
      <c r="AH867" s="94"/>
      <c r="AI867" s="94"/>
      <c r="AJ867" s="94"/>
      <c r="AK867" s="94"/>
      <c r="AL867" s="94"/>
      <c r="AM867" s="254"/>
      <c r="AN867" s="254"/>
      <c r="AO867" s="94"/>
      <c r="AP867" s="94"/>
      <c r="AQ867" s="94"/>
      <c r="AR867" s="94"/>
      <c r="AS867" s="207"/>
    </row>
    <row r="868" spans="13:45" ht="12.75">
      <c r="M868" s="104"/>
      <c r="O868" s="206" t="s">
        <v>969</v>
      </c>
      <c r="P868" s="94" t="s">
        <v>970</v>
      </c>
      <c r="Q868" s="180">
        <v>223292</v>
      </c>
      <c r="R868" s="258">
        <v>1600</v>
      </c>
      <c r="S868" s="259">
        <v>42</v>
      </c>
      <c r="T868" s="213" t="s">
        <v>4997</v>
      </c>
      <c r="U868" s="213" t="s">
        <v>851</v>
      </c>
      <c r="V868" s="213" t="s">
        <v>3439</v>
      </c>
      <c r="W868" s="213" t="s">
        <v>3361</v>
      </c>
      <c r="X868" s="213" t="s">
        <v>852</v>
      </c>
      <c r="Y868" s="213" t="s">
        <v>4999</v>
      </c>
      <c r="Z868" s="213" t="s">
        <v>3670</v>
      </c>
      <c r="AA868" s="213">
        <v>42</v>
      </c>
      <c r="AB868" s="213">
        <v>42</v>
      </c>
      <c r="AC868" s="207" t="s">
        <v>4530</v>
      </c>
      <c r="AD868"/>
      <c r="AE868" s="206"/>
      <c r="AF868" s="94"/>
      <c r="AG868" s="94"/>
      <c r="AH868" s="94"/>
      <c r="AI868" s="94"/>
      <c r="AJ868" s="94"/>
      <c r="AK868" s="94"/>
      <c r="AL868" s="94"/>
      <c r="AM868" s="254"/>
      <c r="AN868" s="254"/>
      <c r="AO868" s="94"/>
      <c r="AP868" s="94"/>
      <c r="AQ868" s="94"/>
      <c r="AR868" s="94"/>
      <c r="AS868" s="207"/>
    </row>
    <row r="869" spans="13:45" ht="12.75">
      <c r="M869" s="104"/>
      <c r="O869" s="206" t="s">
        <v>971</v>
      </c>
      <c r="P869" s="94" t="s">
        <v>972</v>
      </c>
      <c r="Q869" s="180">
        <v>238396</v>
      </c>
      <c r="R869" s="258">
        <v>1600</v>
      </c>
      <c r="S869" s="259">
        <v>65</v>
      </c>
      <c r="T869" s="213" t="s">
        <v>4997</v>
      </c>
      <c r="U869" s="213" t="s">
        <v>851</v>
      </c>
      <c r="V869" s="213" t="s">
        <v>3439</v>
      </c>
      <c r="W869" s="213" t="s">
        <v>3361</v>
      </c>
      <c r="X869" s="213" t="s">
        <v>852</v>
      </c>
      <c r="Y869" s="213" t="s">
        <v>4999</v>
      </c>
      <c r="Z869" s="213" t="s">
        <v>3634</v>
      </c>
      <c r="AA869" s="213">
        <v>55</v>
      </c>
      <c r="AB869" s="213">
        <v>65</v>
      </c>
      <c r="AC869" s="207" t="s">
        <v>3651</v>
      </c>
      <c r="AD869"/>
      <c r="AE869" s="206"/>
      <c r="AF869" s="94"/>
      <c r="AG869" s="94"/>
      <c r="AH869" s="94"/>
      <c r="AI869" s="94"/>
      <c r="AJ869" s="94"/>
      <c r="AK869" s="94"/>
      <c r="AL869" s="94"/>
      <c r="AM869" s="254"/>
      <c r="AN869" s="254"/>
      <c r="AO869" s="94"/>
      <c r="AP869" s="94"/>
      <c r="AQ869" s="94"/>
      <c r="AR869" s="94"/>
      <c r="AS869" s="207"/>
    </row>
    <row r="870" spans="13:45" ht="12.75">
      <c r="M870" s="104"/>
      <c r="O870" s="206" t="s">
        <v>973</v>
      </c>
      <c r="P870" s="94" t="s">
        <v>974</v>
      </c>
      <c r="Q870" s="180">
        <v>287496</v>
      </c>
      <c r="R870" s="258">
        <v>1600</v>
      </c>
      <c r="S870" s="259" t="s">
        <v>5004</v>
      </c>
      <c r="T870" s="213" t="s">
        <v>4997</v>
      </c>
      <c r="U870" s="213" t="s">
        <v>851</v>
      </c>
      <c r="V870" s="213" t="s">
        <v>3439</v>
      </c>
      <c r="W870" s="213" t="s">
        <v>3361</v>
      </c>
      <c r="X870" s="213" t="s">
        <v>852</v>
      </c>
      <c r="Y870" s="213" t="s">
        <v>4999</v>
      </c>
      <c r="Z870" s="213" t="s">
        <v>3650</v>
      </c>
      <c r="AA870" s="213">
        <v>10</v>
      </c>
      <c r="AB870" s="213">
        <v>130</v>
      </c>
      <c r="AC870" s="207" t="s">
        <v>4530</v>
      </c>
      <c r="AD870"/>
      <c r="AE870" s="206"/>
      <c r="AF870" s="94"/>
      <c r="AG870" s="94"/>
      <c r="AH870" s="94"/>
      <c r="AI870" s="94"/>
      <c r="AJ870" s="94"/>
      <c r="AK870" s="94"/>
      <c r="AL870" s="94"/>
      <c r="AM870" s="254"/>
      <c r="AN870" s="254"/>
      <c r="AO870" s="94"/>
      <c r="AP870" s="94"/>
      <c r="AQ870" s="94"/>
      <c r="AR870" s="94"/>
      <c r="AS870" s="207"/>
    </row>
    <row r="871" spans="13:45" ht="12.75">
      <c r="M871" s="104"/>
      <c r="O871" s="206" t="s">
        <v>975</v>
      </c>
      <c r="P871" s="94" t="s">
        <v>976</v>
      </c>
      <c r="Q871" s="180">
        <v>243277</v>
      </c>
      <c r="R871" s="258">
        <v>2000</v>
      </c>
      <c r="S871" s="259">
        <v>42</v>
      </c>
      <c r="T871" s="213" t="s">
        <v>4997</v>
      </c>
      <c r="U871" s="213" t="s">
        <v>851</v>
      </c>
      <c r="V871" s="213" t="s">
        <v>3439</v>
      </c>
      <c r="W871" s="213" t="s">
        <v>3361</v>
      </c>
      <c r="X871" s="213" t="s">
        <v>852</v>
      </c>
      <c r="Y871" s="213" t="s">
        <v>4999</v>
      </c>
      <c r="Z871" s="213" t="s">
        <v>3670</v>
      </c>
      <c r="AA871" s="213">
        <v>42</v>
      </c>
      <c r="AB871" s="213">
        <v>42</v>
      </c>
      <c r="AC871" s="207" t="s">
        <v>4530</v>
      </c>
      <c r="AD871"/>
      <c r="AE871" s="206"/>
      <c r="AF871" s="94"/>
      <c r="AG871" s="94"/>
      <c r="AH871" s="94"/>
      <c r="AI871" s="94"/>
      <c r="AJ871" s="94"/>
      <c r="AK871" s="94"/>
      <c r="AL871" s="94"/>
      <c r="AM871" s="254"/>
      <c r="AN871" s="254"/>
      <c r="AO871" s="94"/>
      <c r="AP871" s="94"/>
      <c r="AQ871" s="94"/>
      <c r="AR871" s="94"/>
      <c r="AS871" s="207"/>
    </row>
    <row r="872" spans="13:45" ht="12.75">
      <c r="M872" s="104"/>
      <c r="O872" s="206" t="s">
        <v>977</v>
      </c>
      <c r="P872" s="94" t="s">
        <v>978</v>
      </c>
      <c r="Q872" s="180">
        <v>242568</v>
      </c>
      <c r="R872" s="258">
        <v>2000</v>
      </c>
      <c r="S872" s="259">
        <v>65</v>
      </c>
      <c r="T872" s="213" t="s">
        <v>4997</v>
      </c>
      <c r="U872" s="213" t="s">
        <v>851</v>
      </c>
      <c r="V872" s="213" t="s">
        <v>3439</v>
      </c>
      <c r="W872" s="213" t="s">
        <v>3361</v>
      </c>
      <c r="X872" s="213" t="s">
        <v>852</v>
      </c>
      <c r="Y872" s="213" t="s">
        <v>4999</v>
      </c>
      <c r="Z872" s="213" t="s">
        <v>3634</v>
      </c>
      <c r="AA872" s="213">
        <v>55</v>
      </c>
      <c r="AB872" s="213">
        <v>65</v>
      </c>
      <c r="AC872" s="207" t="s">
        <v>4530</v>
      </c>
      <c r="AD872"/>
      <c r="AE872" s="206"/>
      <c r="AF872" s="94"/>
      <c r="AG872" s="94"/>
      <c r="AH872" s="94"/>
      <c r="AI872" s="94"/>
      <c r="AJ872" s="94"/>
      <c r="AK872" s="94"/>
      <c r="AL872" s="94"/>
      <c r="AM872" s="254"/>
      <c r="AN872" s="254"/>
      <c r="AO872" s="94"/>
      <c r="AP872" s="94"/>
      <c r="AQ872" s="94"/>
      <c r="AR872" s="94"/>
      <c r="AS872" s="207"/>
    </row>
    <row r="873" spans="13:45" ht="12.75">
      <c r="M873" s="104"/>
      <c r="O873" s="206" t="s">
        <v>979</v>
      </c>
      <c r="P873" s="94" t="s">
        <v>980</v>
      </c>
      <c r="Q873" s="180">
        <v>222150</v>
      </c>
      <c r="R873" s="258">
        <v>1250</v>
      </c>
      <c r="S873" s="259">
        <v>65</v>
      </c>
      <c r="T873" s="213" t="s">
        <v>4997</v>
      </c>
      <c r="U873" s="213" t="s">
        <v>851</v>
      </c>
      <c r="V873" s="213" t="s">
        <v>3443</v>
      </c>
      <c r="W873" s="213" t="s">
        <v>3572</v>
      </c>
      <c r="X873" s="213" t="s">
        <v>852</v>
      </c>
      <c r="Y873" s="213" t="s">
        <v>4999</v>
      </c>
      <c r="Z873" s="213" t="s">
        <v>3634</v>
      </c>
      <c r="AA873" s="213">
        <v>55</v>
      </c>
      <c r="AB873" s="213">
        <v>65</v>
      </c>
      <c r="AC873" s="207" t="s">
        <v>3651</v>
      </c>
      <c r="AD873"/>
      <c r="AE873" s="206"/>
      <c r="AF873" s="94"/>
      <c r="AG873" s="94"/>
      <c r="AH873" s="94"/>
      <c r="AI873" s="94"/>
      <c r="AJ873" s="94"/>
      <c r="AK873" s="94"/>
      <c r="AL873" s="94"/>
      <c r="AM873" s="254"/>
      <c r="AN873" s="254"/>
      <c r="AO873" s="94"/>
      <c r="AP873" s="94"/>
      <c r="AQ873" s="94"/>
      <c r="AR873" s="94"/>
      <c r="AS873" s="207"/>
    </row>
    <row r="874" spans="13:45" ht="12.75">
      <c r="M874" s="104"/>
      <c r="O874" s="206" t="s">
        <v>981</v>
      </c>
      <c r="P874" s="94" t="s">
        <v>982</v>
      </c>
      <c r="Q874" s="180">
        <v>257034</v>
      </c>
      <c r="R874" s="258">
        <v>1250</v>
      </c>
      <c r="S874" s="259" t="s">
        <v>5004</v>
      </c>
      <c r="T874" s="213" t="s">
        <v>4997</v>
      </c>
      <c r="U874" s="213" t="s">
        <v>851</v>
      </c>
      <c r="V874" s="213" t="s">
        <v>3443</v>
      </c>
      <c r="W874" s="213" t="s">
        <v>3572</v>
      </c>
      <c r="X874" s="213" t="s">
        <v>852</v>
      </c>
      <c r="Y874" s="213" t="s">
        <v>4999</v>
      </c>
      <c r="Z874" s="213" t="s">
        <v>3650</v>
      </c>
      <c r="AA874" s="213">
        <v>10</v>
      </c>
      <c r="AB874" s="213">
        <v>130</v>
      </c>
      <c r="AC874" s="207" t="s">
        <v>4530</v>
      </c>
      <c r="AD874"/>
      <c r="AE874" s="206"/>
      <c r="AF874" s="94"/>
      <c r="AG874" s="94"/>
      <c r="AH874" s="94"/>
      <c r="AI874" s="94"/>
      <c r="AJ874" s="94"/>
      <c r="AK874" s="94"/>
      <c r="AL874" s="94"/>
      <c r="AM874" s="254"/>
      <c r="AN874" s="254"/>
      <c r="AO874" s="94"/>
      <c r="AP874" s="94"/>
      <c r="AQ874" s="94"/>
      <c r="AR874" s="94"/>
      <c r="AS874" s="207"/>
    </row>
    <row r="875" spans="13:45" ht="12.75">
      <c r="M875" s="104"/>
      <c r="O875" s="206" t="s">
        <v>983</v>
      </c>
      <c r="P875" s="94" t="s">
        <v>984</v>
      </c>
      <c r="Q875" s="180">
        <v>234892</v>
      </c>
      <c r="R875" s="258">
        <v>1600</v>
      </c>
      <c r="S875" s="259">
        <v>42</v>
      </c>
      <c r="T875" s="213" t="s">
        <v>4997</v>
      </c>
      <c r="U875" s="213" t="s">
        <v>851</v>
      </c>
      <c r="V875" s="213" t="s">
        <v>3443</v>
      </c>
      <c r="W875" s="213" t="s">
        <v>3572</v>
      </c>
      <c r="X875" s="213" t="s">
        <v>852</v>
      </c>
      <c r="Y875" s="213" t="s">
        <v>4999</v>
      </c>
      <c r="Z875" s="213" t="s">
        <v>3670</v>
      </c>
      <c r="AA875" s="213">
        <v>42</v>
      </c>
      <c r="AB875" s="213">
        <v>42</v>
      </c>
      <c r="AC875" s="207" t="s">
        <v>4530</v>
      </c>
      <c r="AD875"/>
      <c r="AE875" s="206"/>
      <c r="AF875" s="94"/>
      <c r="AG875" s="94"/>
      <c r="AH875" s="94"/>
      <c r="AI875" s="94"/>
      <c r="AJ875" s="94"/>
      <c r="AK875" s="94"/>
      <c r="AL875" s="94"/>
      <c r="AM875" s="254"/>
      <c r="AN875" s="254"/>
      <c r="AO875" s="94"/>
      <c r="AP875" s="94"/>
      <c r="AQ875" s="94"/>
      <c r="AR875" s="94"/>
      <c r="AS875" s="207"/>
    </row>
    <row r="876" spans="13:45" ht="12.75">
      <c r="M876" s="104"/>
      <c r="O876" s="206" t="s">
        <v>985</v>
      </c>
      <c r="P876" s="94" t="s">
        <v>986</v>
      </c>
      <c r="Q876" s="180">
        <v>250270</v>
      </c>
      <c r="R876" s="258">
        <v>1600</v>
      </c>
      <c r="S876" s="259">
        <v>65</v>
      </c>
      <c r="T876" s="213" t="s">
        <v>4997</v>
      </c>
      <c r="U876" s="213" t="s">
        <v>851</v>
      </c>
      <c r="V876" s="213" t="s">
        <v>3443</v>
      </c>
      <c r="W876" s="213" t="s">
        <v>3572</v>
      </c>
      <c r="X876" s="213" t="s">
        <v>852</v>
      </c>
      <c r="Y876" s="213" t="s">
        <v>4999</v>
      </c>
      <c r="Z876" s="213" t="s">
        <v>3634</v>
      </c>
      <c r="AA876" s="213">
        <v>55</v>
      </c>
      <c r="AB876" s="213">
        <v>65</v>
      </c>
      <c r="AC876" s="207" t="s">
        <v>3651</v>
      </c>
      <c r="AD876"/>
      <c r="AE876" s="206"/>
      <c r="AF876" s="94"/>
      <c r="AG876" s="94"/>
      <c r="AH876" s="94"/>
      <c r="AI876" s="94"/>
      <c r="AJ876" s="94"/>
      <c r="AK876" s="94"/>
      <c r="AL876" s="94"/>
      <c r="AM876" s="254"/>
      <c r="AN876" s="254"/>
      <c r="AO876" s="94"/>
      <c r="AP876" s="94"/>
      <c r="AQ876" s="94"/>
      <c r="AR876" s="94"/>
      <c r="AS876" s="207"/>
    </row>
    <row r="877" spans="13:45" ht="12.75">
      <c r="M877" s="104"/>
      <c r="O877" s="206" t="s">
        <v>987</v>
      </c>
      <c r="P877" s="94" t="s">
        <v>988</v>
      </c>
      <c r="Q877" s="180">
        <v>304496</v>
      </c>
      <c r="R877" s="258">
        <v>1600</v>
      </c>
      <c r="S877" s="259" t="s">
        <v>5004</v>
      </c>
      <c r="T877" s="213" t="s">
        <v>4997</v>
      </c>
      <c r="U877" s="213" t="s">
        <v>851</v>
      </c>
      <c r="V877" s="213" t="s">
        <v>3443</v>
      </c>
      <c r="W877" s="213" t="s">
        <v>3572</v>
      </c>
      <c r="X877" s="213" t="s">
        <v>852</v>
      </c>
      <c r="Y877" s="213" t="s">
        <v>4999</v>
      </c>
      <c r="Z877" s="213" t="s">
        <v>3650</v>
      </c>
      <c r="AA877" s="213">
        <v>10</v>
      </c>
      <c r="AB877" s="213">
        <v>130</v>
      </c>
      <c r="AC877" s="207" t="s">
        <v>4530</v>
      </c>
      <c r="AD877"/>
      <c r="AE877" s="206"/>
      <c r="AF877" s="94"/>
      <c r="AG877" s="94"/>
      <c r="AH877" s="94"/>
      <c r="AI877" s="94"/>
      <c r="AJ877" s="94"/>
      <c r="AK877" s="94"/>
      <c r="AL877" s="94"/>
      <c r="AM877" s="254"/>
      <c r="AN877" s="254"/>
      <c r="AO877" s="94"/>
      <c r="AP877" s="94"/>
      <c r="AQ877" s="94"/>
      <c r="AR877" s="94"/>
      <c r="AS877" s="207"/>
    </row>
    <row r="878" spans="13:45" ht="12.75">
      <c r="M878" s="104"/>
      <c r="O878" s="206" t="s">
        <v>989</v>
      </c>
      <c r="P878" s="94" t="s">
        <v>990</v>
      </c>
      <c r="Q878" s="180">
        <v>257765</v>
      </c>
      <c r="R878" s="258">
        <v>2000</v>
      </c>
      <c r="S878" s="259">
        <v>42</v>
      </c>
      <c r="T878" s="213" t="s">
        <v>4997</v>
      </c>
      <c r="U878" s="213" t="s">
        <v>851</v>
      </c>
      <c r="V878" s="213" t="s">
        <v>3443</v>
      </c>
      <c r="W878" s="213" t="s">
        <v>3572</v>
      </c>
      <c r="X878" s="213" t="s">
        <v>852</v>
      </c>
      <c r="Y878" s="213" t="s">
        <v>4999</v>
      </c>
      <c r="Z878" s="213" t="s">
        <v>3670</v>
      </c>
      <c r="AA878" s="213">
        <v>42</v>
      </c>
      <c r="AB878" s="213">
        <v>42</v>
      </c>
      <c r="AC878" s="207" t="s">
        <v>4530</v>
      </c>
      <c r="AD878"/>
      <c r="AE878" s="206"/>
      <c r="AF878" s="94"/>
      <c r="AG878" s="94"/>
      <c r="AH878" s="94"/>
      <c r="AI878" s="94"/>
      <c r="AJ878" s="94"/>
      <c r="AK878" s="94"/>
      <c r="AL878" s="94"/>
      <c r="AM878" s="254"/>
      <c r="AN878" s="254"/>
      <c r="AO878" s="94"/>
      <c r="AP878" s="94"/>
      <c r="AQ878" s="94"/>
      <c r="AR878" s="94"/>
      <c r="AS878" s="207"/>
    </row>
    <row r="879" spans="13:45" ht="12.75">
      <c r="M879" s="104"/>
      <c r="O879" s="206" t="s">
        <v>991</v>
      </c>
      <c r="P879" s="94" t="s">
        <v>992</v>
      </c>
      <c r="Q879" s="180">
        <v>276784</v>
      </c>
      <c r="R879" s="258">
        <v>2000</v>
      </c>
      <c r="S879" s="259">
        <v>65</v>
      </c>
      <c r="T879" s="213" t="s">
        <v>4997</v>
      </c>
      <c r="U879" s="213" t="s">
        <v>851</v>
      </c>
      <c r="V879" s="213" t="s">
        <v>3443</v>
      </c>
      <c r="W879" s="213" t="s">
        <v>3572</v>
      </c>
      <c r="X879" s="213" t="s">
        <v>852</v>
      </c>
      <c r="Y879" s="213" t="s">
        <v>4999</v>
      </c>
      <c r="Z879" s="213" t="s">
        <v>3634</v>
      </c>
      <c r="AA879" s="213">
        <v>55</v>
      </c>
      <c r="AB879" s="213">
        <v>65</v>
      </c>
      <c r="AC879" s="207" t="s">
        <v>4530</v>
      </c>
      <c r="AD879"/>
      <c r="AE879" s="206"/>
      <c r="AF879" s="94"/>
      <c r="AG879" s="94"/>
      <c r="AH879" s="94"/>
      <c r="AI879" s="94"/>
      <c r="AJ879" s="94"/>
      <c r="AK879" s="94"/>
      <c r="AL879" s="94"/>
      <c r="AM879" s="254"/>
      <c r="AN879" s="254"/>
      <c r="AO879" s="94"/>
      <c r="AP879" s="94"/>
      <c r="AQ879" s="94"/>
      <c r="AR879" s="94"/>
      <c r="AS879" s="207"/>
    </row>
    <row r="880" spans="13:45" ht="12.75">
      <c r="M880" s="104"/>
      <c r="O880" s="206" t="s">
        <v>993</v>
      </c>
      <c r="P880" s="94" t="s">
        <v>994</v>
      </c>
      <c r="Q880" s="180">
        <v>244215</v>
      </c>
      <c r="R880" s="258">
        <v>1250</v>
      </c>
      <c r="S880" s="259">
        <v>65</v>
      </c>
      <c r="T880" s="213" t="s">
        <v>4997</v>
      </c>
      <c r="U880" s="213" t="s">
        <v>910</v>
      </c>
      <c r="V880" s="213" t="s">
        <v>3439</v>
      </c>
      <c r="W880" s="213" t="s">
        <v>3361</v>
      </c>
      <c r="X880" s="213" t="s">
        <v>852</v>
      </c>
      <c r="Y880" s="213" t="s">
        <v>4999</v>
      </c>
      <c r="Z880" s="213" t="s">
        <v>3634</v>
      </c>
      <c r="AA880" s="213">
        <v>55</v>
      </c>
      <c r="AB880" s="213">
        <v>65</v>
      </c>
      <c r="AC880" s="207" t="s">
        <v>3651</v>
      </c>
      <c r="AD880"/>
      <c r="AE880" s="206"/>
      <c r="AF880" s="94"/>
      <c r="AG880" s="94"/>
      <c r="AH880" s="94"/>
      <c r="AI880" s="94"/>
      <c r="AJ880" s="94"/>
      <c r="AK880" s="94"/>
      <c r="AL880" s="94"/>
      <c r="AM880" s="254"/>
      <c r="AN880" s="254"/>
      <c r="AO880" s="94"/>
      <c r="AP880" s="94"/>
      <c r="AQ880" s="94"/>
      <c r="AR880" s="94"/>
      <c r="AS880" s="207"/>
    </row>
    <row r="881" spans="13:45" ht="12.75">
      <c r="M881" s="104"/>
      <c r="O881" s="206" t="s">
        <v>995</v>
      </c>
      <c r="P881" s="94" t="s">
        <v>996</v>
      </c>
      <c r="Q881" s="180">
        <v>278383</v>
      </c>
      <c r="R881" s="258">
        <v>1250</v>
      </c>
      <c r="S881" s="259" t="s">
        <v>5004</v>
      </c>
      <c r="T881" s="213" t="s">
        <v>4997</v>
      </c>
      <c r="U881" s="213" t="s">
        <v>910</v>
      </c>
      <c r="V881" s="213" t="s">
        <v>3439</v>
      </c>
      <c r="W881" s="213" t="s">
        <v>3361</v>
      </c>
      <c r="X881" s="213" t="s">
        <v>852</v>
      </c>
      <c r="Y881" s="213" t="s">
        <v>4999</v>
      </c>
      <c r="Z881" s="213" t="s">
        <v>3650</v>
      </c>
      <c r="AA881" s="213">
        <v>10</v>
      </c>
      <c r="AB881" s="213">
        <v>130</v>
      </c>
      <c r="AC881" s="207" t="s">
        <v>4530</v>
      </c>
      <c r="AD881"/>
      <c r="AE881" s="206"/>
      <c r="AF881" s="94"/>
      <c r="AG881" s="94"/>
      <c r="AH881" s="94"/>
      <c r="AI881" s="94"/>
      <c r="AJ881" s="94"/>
      <c r="AK881" s="94"/>
      <c r="AL881" s="94"/>
      <c r="AM881" s="254"/>
      <c r="AN881" s="254"/>
      <c r="AO881" s="94"/>
      <c r="AP881" s="94"/>
      <c r="AQ881" s="94"/>
      <c r="AR881" s="94"/>
      <c r="AS881" s="207"/>
    </row>
    <row r="882" spans="13:45" ht="12.75">
      <c r="M882" s="104"/>
      <c r="O882" s="206" t="s">
        <v>997</v>
      </c>
      <c r="P882" s="94" t="s">
        <v>998</v>
      </c>
      <c r="Q882" s="180">
        <v>249785</v>
      </c>
      <c r="R882" s="258">
        <v>1600</v>
      </c>
      <c r="S882" s="259">
        <v>42</v>
      </c>
      <c r="T882" s="213" t="s">
        <v>4997</v>
      </c>
      <c r="U882" s="213" t="s">
        <v>910</v>
      </c>
      <c r="V882" s="213" t="s">
        <v>3439</v>
      </c>
      <c r="W882" s="213" t="s">
        <v>3361</v>
      </c>
      <c r="X882" s="213" t="s">
        <v>852</v>
      </c>
      <c r="Y882" s="213" t="s">
        <v>4999</v>
      </c>
      <c r="Z882" s="213" t="s">
        <v>3670</v>
      </c>
      <c r="AA882" s="213">
        <v>42</v>
      </c>
      <c r="AB882" s="213">
        <v>42</v>
      </c>
      <c r="AC882" s="207" t="s">
        <v>4530</v>
      </c>
      <c r="AD882"/>
      <c r="AE882" s="206"/>
      <c r="AF882" s="94"/>
      <c r="AG882" s="94"/>
      <c r="AH882" s="94"/>
      <c r="AI882" s="94"/>
      <c r="AJ882" s="94"/>
      <c r="AK882" s="94"/>
      <c r="AL882" s="94"/>
      <c r="AM882" s="254"/>
      <c r="AN882" s="254"/>
      <c r="AO882" s="94"/>
      <c r="AP882" s="94"/>
      <c r="AQ882" s="94"/>
      <c r="AR882" s="94"/>
      <c r="AS882" s="207"/>
    </row>
    <row r="883" spans="13:45" ht="12.75">
      <c r="M883" s="104"/>
      <c r="O883" s="206" t="s">
        <v>999</v>
      </c>
      <c r="P883" s="94" t="s">
        <v>1000</v>
      </c>
      <c r="Q883" s="180">
        <v>267971</v>
      </c>
      <c r="R883" s="258">
        <v>1600</v>
      </c>
      <c r="S883" s="259">
        <v>65</v>
      </c>
      <c r="T883" s="213" t="s">
        <v>4997</v>
      </c>
      <c r="U883" s="213" t="s">
        <v>910</v>
      </c>
      <c r="V883" s="213" t="s">
        <v>3439</v>
      </c>
      <c r="W883" s="213" t="s">
        <v>3361</v>
      </c>
      <c r="X883" s="213" t="s">
        <v>852</v>
      </c>
      <c r="Y883" s="213" t="s">
        <v>4999</v>
      </c>
      <c r="Z883" s="213" t="s">
        <v>3634</v>
      </c>
      <c r="AA883" s="213">
        <v>55</v>
      </c>
      <c r="AB883" s="213">
        <v>65</v>
      </c>
      <c r="AC883" s="207" t="s">
        <v>3651</v>
      </c>
      <c r="AD883"/>
      <c r="AE883" s="206"/>
      <c r="AF883" s="94"/>
      <c r="AG883" s="94"/>
      <c r="AH883" s="94"/>
      <c r="AI883" s="94"/>
      <c r="AJ883" s="94"/>
      <c r="AK883" s="94"/>
      <c r="AL883" s="94"/>
      <c r="AM883" s="254"/>
      <c r="AN883" s="254"/>
      <c r="AO883" s="94"/>
      <c r="AP883" s="94"/>
      <c r="AQ883" s="94"/>
      <c r="AR883" s="94"/>
      <c r="AS883" s="207"/>
    </row>
    <row r="884" spans="13:45" ht="12.75">
      <c r="M884" s="104"/>
      <c r="O884" s="206" t="s">
        <v>1001</v>
      </c>
      <c r="P884" s="94" t="s">
        <v>1002</v>
      </c>
      <c r="Q884" s="180">
        <v>320527</v>
      </c>
      <c r="R884" s="258">
        <v>1600</v>
      </c>
      <c r="S884" s="259" t="s">
        <v>5004</v>
      </c>
      <c r="T884" s="213" t="s">
        <v>4997</v>
      </c>
      <c r="U884" s="213" t="s">
        <v>910</v>
      </c>
      <c r="V884" s="213" t="s">
        <v>3439</v>
      </c>
      <c r="W884" s="213" t="s">
        <v>3361</v>
      </c>
      <c r="X884" s="213" t="s">
        <v>852</v>
      </c>
      <c r="Y884" s="213" t="s">
        <v>4999</v>
      </c>
      <c r="Z884" s="213" t="s">
        <v>3650</v>
      </c>
      <c r="AA884" s="213">
        <v>10</v>
      </c>
      <c r="AB884" s="213">
        <v>130</v>
      </c>
      <c r="AC884" s="207" t="s">
        <v>4530</v>
      </c>
      <c r="AD884"/>
      <c r="AE884" s="206"/>
      <c r="AF884" s="94"/>
      <c r="AG884" s="94"/>
      <c r="AH884" s="94"/>
      <c r="AI884" s="94"/>
      <c r="AJ884" s="94"/>
      <c r="AK884" s="94"/>
      <c r="AL884" s="94"/>
      <c r="AM884" s="254"/>
      <c r="AN884" s="254"/>
      <c r="AO884" s="94"/>
      <c r="AP884" s="94"/>
      <c r="AQ884" s="94"/>
      <c r="AR884" s="94"/>
      <c r="AS884" s="207"/>
    </row>
    <row r="885" spans="13:45" ht="12.75">
      <c r="M885" s="104"/>
      <c r="O885" s="206" t="s">
        <v>1003</v>
      </c>
      <c r="P885" s="94" t="s">
        <v>1004</v>
      </c>
      <c r="Q885" s="180">
        <v>268921</v>
      </c>
      <c r="R885" s="258">
        <v>2000</v>
      </c>
      <c r="S885" s="259">
        <v>42</v>
      </c>
      <c r="T885" s="213" t="s">
        <v>4997</v>
      </c>
      <c r="U885" s="213" t="s">
        <v>910</v>
      </c>
      <c r="V885" s="213" t="s">
        <v>3439</v>
      </c>
      <c r="W885" s="213" t="s">
        <v>3361</v>
      </c>
      <c r="X885" s="213" t="s">
        <v>852</v>
      </c>
      <c r="Y885" s="213" t="s">
        <v>4999</v>
      </c>
      <c r="Z885" s="213" t="s">
        <v>3670</v>
      </c>
      <c r="AA885" s="213">
        <v>42</v>
      </c>
      <c r="AB885" s="213">
        <v>42</v>
      </c>
      <c r="AC885" s="207" t="s">
        <v>4530</v>
      </c>
      <c r="AD885"/>
      <c r="AE885" s="206"/>
      <c r="AF885" s="94"/>
      <c r="AG885" s="94"/>
      <c r="AH885" s="94"/>
      <c r="AI885" s="94"/>
      <c r="AJ885" s="94"/>
      <c r="AK885" s="94"/>
      <c r="AL885" s="94"/>
      <c r="AM885" s="254"/>
      <c r="AN885" s="254"/>
      <c r="AO885" s="94"/>
      <c r="AP885" s="94"/>
      <c r="AQ885" s="94"/>
      <c r="AR885" s="94"/>
      <c r="AS885" s="207"/>
    </row>
    <row r="886" spans="13:45" ht="12.75">
      <c r="M886" s="104"/>
      <c r="O886" s="206" t="s">
        <v>1005</v>
      </c>
      <c r="P886" s="94" t="s">
        <v>1006</v>
      </c>
      <c r="Q886" s="180">
        <v>278703</v>
      </c>
      <c r="R886" s="258">
        <v>2000</v>
      </c>
      <c r="S886" s="259">
        <v>65</v>
      </c>
      <c r="T886" s="213" t="s">
        <v>4997</v>
      </c>
      <c r="U886" s="213" t="s">
        <v>910</v>
      </c>
      <c r="V886" s="213" t="s">
        <v>3439</v>
      </c>
      <c r="W886" s="213" t="s">
        <v>3361</v>
      </c>
      <c r="X886" s="213" t="s">
        <v>852</v>
      </c>
      <c r="Y886" s="213" t="s">
        <v>4999</v>
      </c>
      <c r="Z886" s="213" t="s">
        <v>3634</v>
      </c>
      <c r="AA886" s="213">
        <v>55</v>
      </c>
      <c r="AB886" s="213">
        <v>65</v>
      </c>
      <c r="AC886" s="207" t="s">
        <v>4530</v>
      </c>
      <c r="AD886"/>
      <c r="AE886" s="206"/>
      <c r="AF886" s="94"/>
      <c r="AG886" s="94"/>
      <c r="AH886" s="94"/>
      <c r="AI886" s="94"/>
      <c r="AJ886" s="94"/>
      <c r="AK886" s="94"/>
      <c r="AL886" s="94"/>
      <c r="AM886" s="254"/>
      <c r="AN886" s="254"/>
      <c r="AO886" s="94"/>
      <c r="AP886" s="94"/>
      <c r="AQ886" s="94"/>
      <c r="AR886" s="94"/>
      <c r="AS886" s="207"/>
    </row>
    <row r="887" spans="13:45" ht="12.75">
      <c r="M887" s="104"/>
      <c r="O887" s="206" t="s">
        <v>1007</v>
      </c>
      <c r="P887" s="94" t="s">
        <v>1008</v>
      </c>
      <c r="Q887" s="180">
        <v>248822</v>
      </c>
      <c r="R887" s="258">
        <v>1250</v>
      </c>
      <c r="S887" s="259">
        <v>65</v>
      </c>
      <c r="T887" s="213" t="s">
        <v>4997</v>
      </c>
      <c r="U887" s="213" t="s">
        <v>910</v>
      </c>
      <c r="V887" s="213" t="s">
        <v>3443</v>
      </c>
      <c r="W887" s="213" t="s">
        <v>3572</v>
      </c>
      <c r="X887" s="213" t="s">
        <v>852</v>
      </c>
      <c r="Y887" s="213" t="s">
        <v>4999</v>
      </c>
      <c r="Z887" s="213" t="s">
        <v>3634</v>
      </c>
      <c r="AA887" s="213">
        <v>55</v>
      </c>
      <c r="AB887" s="213">
        <v>65</v>
      </c>
      <c r="AC887" s="207" t="s">
        <v>3651</v>
      </c>
      <c r="AD887"/>
      <c r="AE887" s="206"/>
      <c r="AF887" s="94"/>
      <c r="AG887" s="94"/>
      <c r="AH887" s="94"/>
      <c r="AI887" s="94"/>
      <c r="AJ887" s="94"/>
      <c r="AK887" s="94"/>
      <c r="AL887" s="94"/>
      <c r="AM887" s="254"/>
      <c r="AN887" s="254"/>
      <c r="AO887" s="94"/>
      <c r="AP887" s="94"/>
      <c r="AQ887" s="94"/>
      <c r="AR887" s="94"/>
      <c r="AS887" s="207"/>
    </row>
    <row r="888" spans="13:45" ht="12.75">
      <c r="M888" s="104"/>
      <c r="O888" s="206" t="s">
        <v>1009</v>
      </c>
      <c r="P888" s="94" t="s">
        <v>1010</v>
      </c>
      <c r="Q888" s="180">
        <v>273162</v>
      </c>
      <c r="R888" s="258">
        <v>1250</v>
      </c>
      <c r="S888" s="259" t="s">
        <v>5004</v>
      </c>
      <c r="T888" s="213" t="s">
        <v>4997</v>
      </c>
      <c r="U888" s="213" t="s">
        <v>910</v>
      </c>
      <c r="V888" s="213" t="s">
        <v>3443</v>
      </c>
      <c r="W888" s="213" t="s">
        <v>3572</v>
      </c>
      <c r="X888" s="213" t="s">
        <v>852</v>
      </c>
      <c r="Y888" s="213" t="s">
        <v>4999</v>
      </c>
      <c r="Z888" s="213" t="s">
        <v>3650</v>
      </c>
      <c r="AA888" s="213">
        <v>10</v>
      </c>
      <c r="AB888" s="213">
        <v>130</v>
      </c>
      <c r="AC888" s="207" t="s">
        <v>4530</v>
      </c>
      <c r="AD888"/>
      <c r="AE888" s="206"/>
      <c r="AF888" s="94"/>
      <c r="AG888" s="94"/>
      <c r="AH888" s="94"/>
      <c r="AI888" s="94"/>
      <c r="AJ888" s="94"/>
      <c r="AK888" s="94"/>
      <c r="AL888" s="94"/>
      <c r="AM888" s="254"/>
      <c r="AN888" s="254"/>
      <c r="AO888" s="94"/>
      <c r="AP888" s="94"/>
      <c r="AQ888" s="94"/>
      <c r="AR888" s="94"/>
      <c r="AS888" s="207"/>
    </row>
    <row r="889" spans="13:45" ht="12.75">
      <c r="M889" s="104"/>
      <c r="O889" s="206" t="s">
        <v>1011</v>
      </c>
      <c r="P889" s="94" t="s">
        <v>1012</v>
      </c>
      <c r="Q889" s="180">
        <v>261506</v>
      </c>
      <c r="R889" s="258">
        <v>1600</v>
      </c>
      <c r="S889" s="259">
        <v>42</v>
      </c>
      <c r="T889" s="213" t="s">
        <v>4997</v>
      </c>
      <c r="U889" s="213" t="s">
        <v>910</v>
      </c>
      <c r="V889" s="213" t="s">
        <v>3443</v>
      </c>
      <c r="W889" s="213" t="s">
        <v>3572</v>
      </c>
      <c r="X889" s="213" t="s">
        <v>852</v>
      </c>
      <c r="Y889" s="213" t="s">
        <v>4999</v>
      </c>
      <c r="Z889" s="213" t="s">
        <v>3670</v>
      </c>
      <c r="AA889" s="213">
        <v>42</v>
      </c>
      <c r="AB889" s="213">
        <v>42</v>
      </c>
      <c r="AC889" s="207" t="s">
        <v>4530</v>
      </c>
      <c r="AD889"/>
      <c r="AE889" s="206"/>
      <c r="AF889" s="94"/>
      <c r="AG889" s="94"/>
      <c r="AH889" s="94"/>
      <c r="AI889" s="94"/>
      <c r="AJ889" s="94"/>
      <c r="AK889" s="94"/>
      <c r="AL889" s="94"/>
      <c r="AM889" s="254"/>
      <c r="AN889" s="254"/>
      <c r="AO889" s="94"/>
      <c r="AP889" s="94"/>
      <c r="AQ889" s="94"/>
      <c r="AR889" s="94"/>
      <c r="AS889" s="207"/>
    </row>
    <row r="890" spans="13:45" ht="12.75">
      <c r="M890" s="104"/>
      <c r="O890" s="206" t="s">
        <v>1013</v>
      </c>
      <c r="P890" s="94" t="s">
        <v>1014</v>
      </c>
      <c r="Q890" s="180">
        <v>279278</v>
      </c>
      <c r="R890" s="258">
        <v>1600</v>
      </c>
      <c r="S890" s="259">
        <v>65</v>
      </c>
      <c r="T890" s="213" t="s">
        <v>4997</v>
      </c>
      <c r="U890" s="213" t="s">
        <v>910</v>
      </c>
      <c r="V890" s="213" t="s">
        <v>3443</v>
      </c>
      <c r="W890" s="213" t="s">
        <v>3572</v>
      </c>
      <c r="X890" s="213" t="s">
        <v>852</v>
      </c>
      <c r="Y890" s="213" t="s">
        <v>4999</v>
      </c>
      <c r="Z890" s="213" t="s">
        <v>3634</v>
      </c>
      <c r="AA890" s="213">
        <v>55</v>
      </c>
      <c r="AB890" s="213">
        <v>65</v>
      </c>
      <c r="AC890" s="207" t="s">
        <v>3651</v>
      </c>
      <c r="AD890"/>
      <c r="AE890" s="206"/>
      <c r="AF890" s="94"/>
      <c r="AG890" s="94"/>
      <c r="AH890" s="94"/>
      <c r="AI890" s="94"/>
      <c r="AJ890" s="94"/>
      <c r="AK890" s="94"/>
      <c r="AL890" s="94"/>
      <c r="AM890" s="254"/>
      <c r="AN890" s="254"/>
      <c r="AO890" s="94"/>
      <c r="AP890" s="94"/>
      <c r="AQ890" s="94"/>
      <c r="AR890" s="94"/>
      <c r="AS890" s="207"/>
    </row>
    <row r="891" spans="13:45" ht="12.75">
      <c r="M891" s="104"/>
      <c r="O891" s="206" t="s">
        <v>1015</v>
      </c>
      <c r="P891" s="94" t="s">
        <v>1016</v>
      </c>
      <c r="Q891" s="180">
        <v>335088</v>
      </c>
      <c r="R891" s="258">
        <v>1600</v>
      </c>
      <c r="S891" s="259" t="s">
        <v>5004</v>
      </c>
      <c r="T891" s="213" t="s">
        <v>4997</v>
      </c>
      <c r="U891" s="213" t="s">
        <v>910</v>
      </c>
      <c r="V891" s="213" t="s">
        <v>3443</v>
      </c>
      <c r="W891" s="213" t="s">
        <v>3572</v>
      </c>
      <c r="X891" s="213" t="s">
        <v>852</v>
      </c>
      <c r="Y891" s="213" t="s">
        <v>4999</v>
      </c>
      <c r="Z891" s="213" t="s">
        <v>3650</v>
      </c>
      <c r="AA891" s="213">
        <v>10</v>
      </c>
      <c r="AB891" s="213">
        <v>130</v>
      </c>
      <c r="AC891" s="207" t="s">
        <v>4530</v>
      </c>
      <c r="AD891"/>
      <c r="AE891" s="206"/>
      <c r="AF891" s="94"/>
      <c r="AG891" s="94"/>
      <c r="AH891" s="94"/>
      <c r="AI891" s="94"/>
      <c r="AJ891" s="94"/>
      <c r="AK891" s="94"/>
      <c r="AL891" s="94"/>
      <c r="AM891" s="254"/>
      <c r="AN891" s="254"/>
      <c r="AO891" s="94"/>
      <c r="AP891" s="94"/>
      <c r="AQ891" s="94"/>
      <c r="AR891" s="94"/>
      <c r="AS891" s="207"/>
    </row>
    <row r="892" spans="13:45" ht="12.75">
      <c r="M892" s="104"/>
      <c r="O892" s="206" t="s">
        <v>1017</v>
      </c>
      <c r="P892" s="94" t="s">
        <v>1018</v>
      </c>
      <c r="Q892" s="180">
        <v>287327</v>
      </c>
      <c r="R892" s="258">
        <v>2000</v>
      </c>
      <c r="S892" s="259">
        <v>42</v>
      </c>
      <c r="T892" s="213" t="s">
        <v>4997</v>
      </c>
      <c r="U892" s="213" t="s">
        <v>910</v>
      </c>
      <c r="V892" s="213" t="s">
        <v>3443</v>
      </c>
      <c r="W892" s="213" t="s">
        <v>3572</v>
      </c>
      <c r="X892" s="213" t="s">
        <v>852</v>
      </c>
      <c r="Y892" s="213" t="s">
        <v>4999</v>
      </c>
      <c r="Z892" s="213" t="s">
        <v>3670</v>
      </c>
      <c r="AA892" s="213">
        <v>42</v>
      </c>
      <c r="AB892" s="213">
        <v>42</v>
      </c>
      <c r="AC892" s="207" t="s">
        <v>4530</v>
      </c>
      <c r="AD892"/>
      <c r="AE892" s="206"/>
      <c r="AF892" s="94"/>
      <c r="AG892" s="94"/>
      <c r="AH892" s="94"/>
      <c r="AI892" s="94"/>
      <c r="AJ892" s="94"/>
      <c r="AK892" s="94"/>
      <c r="AL892" s="94"/>
      <c r="AM892" s="254"/>
      <c r="AN892" s="254"/>
      <c r="AO892" s="94"/>
      <c r="AP892" s="94"/>
      <c r="AQ892" s="94"/>
      <c r="AR892" s="94"/>
      <c r="AS892" s="207"/>
    </row>
    <row r="893" spans="13:45" ht="12.75">
      <c r="M893" s="104"/>
      <c r="O893" s="206" t="s">
        <v>1019</v>
      </c>
      <c r="P893" s="94" t="s">
        <v>1020</v>
      </c>
      <c r="Q893" s="180">
        <v>321714</v>
      </c>
      <c r="R893" s="258">
        <v>2000</v>
      </c>
      <c r="S893" s="259">
        <v>65</v>
      </c>
      <c r="T893" s="213" t="s">
        <v>4997</v>
      </c>
      <c r="U893" s="213" t="s">
        <v>910</v>
      </c>
      <c r="V893" s="213" t="s">
        <v>3443</v>
      </c>
      <c r="W893" s="213" t="s">
        <v>3572</v>
      </c>
      <c r="X893" s="213" t="s">
        <v>852</v>
      </c>
      <c r="Y893" s="213" t="s">
        <v>4999</v>
      </c>
      <c r="Z893" s="213" t="s">
        <v>3634</v>
      </c>
      <c r="AA893" s="213">
        <v>55</v>
      </c>
      <c r="AB893" s="213">
        <v>65</v>
      </c>
      <c r="AC893" s="207" t="s">
        <v>4530</v>
      </c>
      <c r="AD893"/>
      <c r="AE893" s="206"/>
      <c r="AF893" s="94"/>
      <c r="AG893" s="94"/>
      <c r="AH893" s="94"/>
      <c r="AI893" s="94"/>
      <c r="AJ893" s="94"/>
      <c r="AK893" s="94"/>
      <c r="AL893" s="94"/>
      <c r="AM893" s="254"/>
      <c r="AN893" s="254"/>
      <c r="AO893" s="94"/>
      <c r="AP893" s="94"/>
      <c r="AQ893" s="94"/>
      <c r="AR893" s="94"/>
      <c r="AS893" s="207"/>
    </row>
    <row r="894" spans="13:45" ht="12.75">
      <c r="M894" s="104"/>
      <c r="O894" s="206" t="s">
        <v>1021</v>
      </c>
      <c r="P894" s="94" t="s">
        <v>1022</v>
      </c>
      <c r="Q894" s="180">
        <v>224753</v>
      </c>
      <c r="R894" s="258">
        <v>1250</v>
      </c>
      <c r="S894" s="259">
        <v>75</v>
      </c>
      <c r="T894" s="213" t="s">
        <v>5000</v>
      </c>
      <c r="U894" s="213" t="s">
        <v>851</v>
      </c>
      <c r="V894" s="213" t="s">
        <v>3439</v>
      </c>
      <c r="W894" s="213" t="s">
        <v>3361</v>
      </c>
      <c r="X894" s="213" t="s">
        <v>852</v>
      </c>
      <c r="Y894" s="213" t="s">
        <v>4999</v>
      </c>
      <c r="Z894" s="213" t="s">
        <v>4549</v>
      </c>
      <c r="AA894" s="213">
        <v>75</v>
      </c>
      <c r="AB894" s="213">
        <v>75</v>
      </c>
      <c r="AC894" s="207" t="s">
        <v>4530</v>
      </c>
      <c r="AD894"/>
      <c r="AE894" s="206"/>
      <c r="AF894" s="94"/>
      <c r="AG894" s="94"/>
      <c r="AH894" s="94"/>
      <c r="AI894" s="94"/>
      <c r="AJ894" s="94"/>
      <c r="AK894" s="94"/>
      <c r="AL894" s="94"/>
      <c r="AM894" s="254"/>
      <c r="AN894" s="254"/>
      <c r="AO894" s="94"/>
      <c r="AP894" s="94"/>
      <c r="AQ894" s="94"/>
      <c r="AR894" s="94"/>
      <c r="AS894" s="207"/>
    </row>
    <row r="895" spans="13:45" ht="12.75">
      <c r="M895" s="104"/>
      <c r="O895" s="206" t="s">
        <v>1023</v>
      </c>
      <c r="P895" s="94" t="s">
        <v>1024</v>
      </c>
      <c r="Q895" s="180">
        <v>229957</v>
      </c>
      <c r="R895" s="258">
        <v>1250</v>
      </c>
      <c r="S895" s="259">
        <v>100</v>
      </c>
      <c r="T895" s="213" t="s">
        <v>5000</v>
      </c>
      <c r="U895" s="213" t="s">
        <v>851</v>
      </c>
      <c r="V895" s="213" t="s">
        <v>3439</v>
      </c>
      <c r="W895" s="213" t="s">
        <v>3361</v>
      </c>
      <c r="X895" s="213" t="s">
        <v>852</v>
      </c>
      <c r="Y895" s="213" t="s">
        <v>4999</v>
      </c>
      <c r="Z895" s="213" t="s">
        <v>3470</v>
      </c>
      <c r="AA895" s="213">
        <v>75</v>
      </c>
      <c r="AB895" s="213">
        <v>85</v>
      </c>
      <c r="AC895" s="207" t="s">
        <v>4530</v>
      </c>
      <c r="AD895"/>
      <c r="AE895" s="206"/>
      <c r="AF895" s="94"/>
      <c r="AG895" s="94"/>
      <c r="AH895" s="94"/>
      <c r="AI895" s="94"/>
      <c r="AJ895" s="94"/>
      <c r="AK895" s="94"/>
      <c r="AL895" s="94"/>
      <c r="AM895" s="254"/>
      <c r="AN895" s="254"/>
      <c r="AO895" s="94"/>
      <c r="AP895" s="94"/>
      <c r="AQ895" s="94"/>
      <c r="AR895" s="94"/>
      <c r="AS895" s="207"/>
    </row>
    <row r="896" spans="13:45" ht="12.75">
      <c r="M896" s="104"/>
      <c r="O896" s="206" t="s">
        <v>1025</v>
      </c>
      <c r="P896" s="94" t="s">
        <v>1026</v>
      </c>
      <c r="Q896" s="180">
        <v>253335</v>
      </c>
      <c r="R896" s="258">
        <v>1600</v>
      </c>
      <c r="S896" s="259">
        <v>75</v>
      </c>
      <c r="T896" s="213" t="s">
        <v>5000</v>
      </c>
      <c r="U896" s="213" t="s">
        <v>851</v>
      </c>
      <c r="V896" s="213" t="s">
        <v>3439</v>
      </c>
      <c r="W896" s="213" t="s">
        <v>3361</v>
      </c>
      <c r="X896" s="213" t="s">
        <v>852</v>
      </c>
      <c r="Y896" s="213" t="s">
        <v>4999</v>
      </c>
      <c r="Z896" s="213" t="s">
        <v>4549</v>
      </c>
      <c r="AA896" s="213">
        <v>75</v>
      </c>
      <c r="AB896" s="213">
        <v>75</v>
      </c>
      <c r="AC896" s="207" t="s">
        <v>4530</v>
      </c>
      <c r="AD896"/>
      <c r="AE896" s="206"/>
      <c r="AF896" s="94"/>
      <c r="AG896" s="94"/>
      <c r="AH896" s="94"/>
      <c r="AI896" s="94"/>
      <c r="AJ896" s="94"/>
      <c r="AK896" s="94"/>
      <c r="AL896" s="94"/>
      <c r="AM896" s="254"/>
      <c r="AN896" s="254"/>
      <c r="AO896" s="94"/>
      <c r="AP896" s="94"/>
      <c r="AQ896" s="94"/>
      <c r="AR896" s="94"/>
      <c r="AS896" s="207"/>
    </row>
    <row r="897" spans="13:45" ht="12.75">
      <c r="M897" s="104"/>
      <c r="O897" s="206" t="s">
        <v>1027</v>
      </c>
      <c r="P897" s="94" t="s">
        <v>1028</v>
      </c>
      <c r="Q897" s="180">
        <v>256105</v>
      </c>
      <c r="R897" s="258">
        <v>1600</v>
      </c>
      <c r="S897" s="259">
        <v>100</v>
      </c>
      <c r="T897" s="213" t="s">
        <v>5000</v>
      </c>
      <c r="U897" s="213" t="s">
        <v>851</v>
      </c>
      <c r="V897" s="213" t="s">
        <v>3439</v>
      </c>
      <c r="W897" s="213" t="s">
        <v>3361</v>
      </c>
      <c r="X897" s="213" t="s">
        <v>852</v>
      </c>
      <c r="Y897" s="213" t="s">
        <v>4999</v>
      </c>
      <c r="Z897" s="213" t="s">
        <v>3470</v>
      </c>
      <c r="AA897" s="213">
        <v>75</v>
      </c>
      <c r="AB897" s="213">
        <v>85</v>
      </c>
      <c r="AC897" s="207" t="s">
        <v>4530</v>
      </c>
      <c r="AD897"/>
      <c r="AE897" s="206"/>
      <c r="AF897" s="94"/>
      <c r="AG897" s="94"/>
      <c r="AH897" s="94"/>
      <c r="AI897" s="94"/>
      <c r="AJ897" s="94"/>
      <c r="AK897" s="94"/>
      <c r="AL897" s="94"/>
      <c r="AM897" s="254"/>
      <c r="AN897" s="254"/>
      <c r="AO897" s="94"/>
      <c r="AP897" s="94"/>
      <c r="AQ897" s="94"/>
      <c r="AR897" s="94"/>
      <c r="AS897" s="207"/>
    </row>
    <row r="898" spans="13:45" ht="12.75">
      <c r="M898" s="104"/>
      <c r="O898" s="206" t="s">
        <v>1029</v>
      </c>
      <c r="P898" s="94" t="s">
        <v>1030</v>
      </c>
      <c r="Q898" s="180">
        <v>260168</v>
      </c>
      <c r="R898" s="258">
        <v>2000</v>
      </c>
      <c r="S898" s="259">
        <v>75</v>
      </c>
      <c r="T898" s="213" t="s">
        <v>5000</v>
      </c>
      <c r="U898" s="213" t="s">
        <v>851</v>
      </c>
      <c r="V898" s="213" t="s">
        <v>3439</v>
      </c>
      <c r="W898" s="213" t="s">
        <v>3361</v>
      </c>
      <c r="X898" s="213" t="s">
        <v>852</v>
      </c>
      <c r="Y898" s="213" t="s">
        <v>4999</v>
      </c>
      <c r="Z898" s="213" t="s">
        <v>4549</v>
      </c>
      <c r="AA898" s="213">
        <v>75</v>
      </c>
      <c r="AB898" s="213">
        <v>75</v>
      </c>
      <c r="AC898" s="207" t="s">
        <v>4530</v>
      </c>
      <c r="AD898"/>
      <c r="AE898" s="206"/>
      <c r="AF898" s="94"/>
      <c r="AG898" s="94"/>
      <c r="AH898" s="94"/>
      <c r="AI898" s="94"/>
      <c r="AJ898" s="94"/>
      <c r="AK898" s="94"/>
      <c r="AL898" s="94"/>
      <c r="AM898" s="254"/>
      <c r="AN898" s="254"/>
      <c r="AO898" s="94"/>
      <c r="AP898" s="94"/>
      <c r="AQ898" s="94"/>
      <c r="AR898" s="94"/>
      <c r="AS898" s="207"/>
    </row>
    <row r="899" spans="13:45" ht="12.75">
      <c r="M899" s="104"/>
      <c r="O899" s="206" t="s">
        <v>1031</v>
      </c>
      <c r="P899" s="94" t="s">
        <v>1032</v>
      </c>
      <c r="Q899" s="180">
        <v>285982</v>
      </c>
      <c r="R899" s="258">
        <v>2000</v>
      </c>
      <c r="S899" s="259">
        <v>100</v>
      </c>
      <c r="T899" s="213" t="s">
        <v>5000</v>
      </c>
      <c r="U899" s="213" t="s">
        <v>851</v>
      </c>
      <c r="V899" s="213" t="s">
        <v>3439</v>
      </c>
      <c r="W899" s="213" t="s">
        <v>3361</v>
      </c>
      <c r="X899" s="213" t="s">
        <v>852</v>
      </c>
      <c r="Y899" s="213" t="s">
        <v>4999</v>
      </c>
      <c r="Z899" s="213" t="s">
        <v>3470</v>
      </c>
      <c r="AA899" s="213">
        <v>75</v>
      </c>
      <c r="AB899" s="213">
        <v>85</v>
      </c>
      <c r="AC899" s="207" t="s">
        <v>3651</v>
      </c>
      <c r="AD899"/>
      <c r="AE899" s="206"/>
      <c r="AF899" s="94"/>
      <c r="AG899" s="94"/>
      <c r="AH899" s="94"/>
      <c r="AI899" s="94"/>
      <c r="AJ899" s="94"/>
      <c r="AK899" s="94"/>
      <c r="AL899" s="94"/>
      <c r="AM899" s="254"/>
      <c r="AN899" s="254"/>
      <c r="AO899" s="94"/>
      <c r="AP899" s="94"/>
      <c r="AQ899" s="94"/>
      <c r="AR899" s="94"/>
      <c r="AS899" s="207"/>
    </row>
    <row r="900" spans="13:45" ht="12.75">
      <c r="M900" s="104"/>
      <c r="O900" s="206" t="s">
        <v>1033</v>
      </c>
      <c r="P900" s="94" t="s">
        <v>1034</v>
      </c>
      <c r="Q900" s="180">
        <v>290187</v>
      </c>
      <c r="R900" s="258">
        <v>2000</v>
      </c>
      <c r="S900" s="259" t="s">
        <v>5004</v>
      </c>
      <c r="T900" s="213" t="s">
        <v>5000</v>
      </c>
      <c r="U900" s="213" t="s">
        <v>851</v>
      </c>
      <c r="V900" s="213" t="s">
        <v>3439</v>
      </c>
      <c r="W900" s="213" t="s">
        <v>3361</v>
      </c>
      <c r="X900" s="213" t="s">
        <v>852</v>
      </c>
      <c r="Y900" s="213" t="s">
        <v>4999</v>
      </c>
      <c r="Z900" s="213" t="s">
        <v>3125</v>
      </c>
      <c r="AA900" s="213">
        <v>15</v>
      </c>
      <c r="AB900" s="213">
        <v>130</v>
      </c>
      <c r="AC900" s="207" t="s">
        <v>4530</v>
      </c>
      <c r="AD900"/>
      <c r="AE900" s="206"/>
      <c r="AF900" s="94"/>
      <c r="AG900" s="94"/>
      <c r="AH900" s="94"/>
      <c r="AI900" s="94"/>
      <c r="AJ900" s="94"/>
      <c r="AK900" s="94"/>
      <c r="AL900" s="94"/>
      <c r="AM900" s="254"/>
      <c r="AN900" s="254"/>
      <c r="AO900" s="94"/>
      <c r="AP900" s="94"/>
      <c r="AQ900" s="94"/>
      <c r="AR900" s="94"/>
      <c r="AS900" s="207"/>
    </row>
    <row r="901" spans="13:45" ht="12.75">
      <c r="M901" s="104"/>
      <c r="O901" s="206" t="s">
        <v>1035</v>
      </c>
      <c r="P901" s="94" t="s">
        <v>1036</v>
      </c>
      <c r="Q901" s="180">
        <v>272341</v>
      </c>
      <c r="R901" s="258">
        <v>2500</v>
      </c>
      <c r="S901" s="259">
        <v>65</v>
      </c>
      <c r="T901" s="213" t="s">
        <v>5000</v>
      </c>
      <c r="U901" s="213" t="s">
        <v>851</v>
      </c>
      <c r="V901" s="213" t="s">
        <v>3439</v>
      </c>
      <c r="W901" s="213" t="s">
        <v>3361</v>
      </c>
      <c r="X901" s="213" t="s">
        <v>852</v>
      </c>
      <c r="Y901" s="213" t="s">
        <v>4999</v>
      </c>
      <c r="Z901" s="213" t="s">
        <v>3356</v>
      </c>
      <c r="AA901" s="213">
        <v>65</v>
      </c>
      <c r="AB901" s="213">
        <v>65</v>
      </c>
      <c r="AC901" s="207" t="s">
        <v>4530</v>
      </c>
      <c r="AD901"/>
      <c r="AE901" s="206"/>
      <c r="AF901" s="94"/>
      <c r="AG901" s="94"/>
      <c r="AH901" s="94"/>
      <c r="AI901" s="94"/>
      <c r="AJ901" s="94"/>
      <c r="AK901" s="94"/>
      <c r="AL901" s="94"/>
      <c r="AM901" s="254"/>
      <c r="AN901" s="254"/>
      <c r="AO901" s="94"/>
      <c r="AP901" s="94"/>
      <c r="AQ901" s="94"/>
      <c r="AR901" s="94"/>
      <c r="AS901" s="207"/>
    </row>
    <row r="902" spans="13:45" ht="12.75">
      <c r="M902" s="104"/>
      <c r="O902" s="206" t="s">
        <v>1037</v>
      </c>
      <c r="P902" s="94" t="s">
        <v>1038</v>
      </c>
      <c r="Q902" s="180">
        <v>298950</v>
      </c>
      <c r="R902" s="258">
        <v>2500</v>
      </c>
      <c r="S902" s="259">
        <v>75</v>
      </c>
      <c r="T902" s="213" t="s">
        <v>5000</v>
      </c>
      <c r="U902" s="213" t="s">
        <v>851</v>
      </c>
      <c r="V902" s="213" t="s">
        <v>3439</v>
      </c>
      <c r="W902" s="213" t="s">
        <v>3361</v>
      </c>
      <c r="X902" s="213" t="s">
        <v>852</v>
      </c>
      <c r="Y902" s="213" t="s">
        <v>4999</v>
      </c>
      <c r="Z902" s="213" t="s">
        <v>4549</v>
      </c>
      <c r="AA902" s="213">
        <v>75</v>
      </c>
      <c r="AB902" s="213">
        <v>75</v>
      </c>
      <c r="AC902" s="207" t="s">
        <v>4530</v>
      </c>
      <c r="AD902"/>
      <c r="AE902" s="206"/>
      <c r="AF902" s="94"/>
      <c r="AG902" s="94"/>
      <c r="AH902" s="94"/>
      <c r="AI902" s="94"/>
      <c r="AJ902" s="94"/>
      <c r="AK902" s="94"/>
      <c r="AL902" s="94"/>
      <c r="AM902" s="254"/>
      <c r="AN902" s="254"/>
      <c r="AO902" s="94"/>
      <c r="AP902" s="94"/>
      <c r="AQ902" s="94"/>
      <c r="AR902" s="94"/>
      <c r="AS902" s="207"/>
    </row>
    <row r="903" spans="13:45" ht="12.75">
      <c r="M903" s="104"/>
      <c r="O903" s="206" t="s">
        <v>1039</v>
      </c>
      <c r="P903" s="94" t="s">
        <v>1040</v>
      </c>
      <c r="Q903" s="180">
        <v>327196</v>
      </c>
      <c r="R903" s="258">
        <v>2500</v>
      </c>
      <c r="S903" s="259">
        <v>100</v>
      </c>
      <c r="T903" s="213" t="s">
        <v>5000</v>
      </c>
      <c r="U903" s="213" t="s">
        <v>851</v>
      </c>
      <c r="V903" s="213" t="s">
        <v>3439</v>
      </c>
      <c r="W903" s="213" t="s">
        <v>3361</v>
      </c>
      <c r="X903" s="213" t="s">
        <v>852</v>
      </c>
      <c r="Y903" s="213" t="s">
        <v>4999</v>
      </c>
      <c r="Z903" s="213" t="s">
        <v>3470</v>
      </c>
      <c r="AA903" s="213">
        <v>75</v>
      </c>
      <c r="AB903" s="213">
        <v>85</v>
      </c>
      <c r="AC903" s="207" t="s">
        <v>3651</v>
      </c>
      <c r="AD903"/>
      <c r="AE903" s="206"/>
      <c r="AF903" s="94"/>
      <c r="AG903" s="94"/>
      <c r="AH903" s="94"/>
      <c r="AI903" s="94"/>
      <c r="AJ903" s="94"/>
      <c r="AK903" s="94"/>
      <c r="AL903" s="94"/>
      <c r="AM903" s="254"/>
      <c r="AN903" s="254"/>
      <c r="AO903" s="94"/>
      <c r="AP903" s="94"/>
      <c r="AQ903" s="94"/>
      <c r="AR903" s="94"/>
      <c r="AS903" s="207"/>
    </row>
    <row r="904" spans="13:45" ht="12.75">
      <c r="M904" s="104"/>
      <c r="O904" s="206" t="s">
        <v>1041</v>
      </c>
      <c r="P904" s="94" t="s">
        <v>1042</v>
      </c>
      <c r="Q904" s="180">
        <v>329569</v>
      </c>
      <c r="R904" s="258">
        <v>2500</v>
      </c>
      <c r="S904" s="259" t="s">
        <v>5004</v>
      </c>
      <c r="T904" s="213" t="s">
        <v>5000</v>
      </c>
      <c r="U904" s="213" t="s">
        <v>851</v>
      </c>
      <c r="V904" s="213" t="s">
        <v>3439</v>
      </c>
      <c r="W904" s="213" t="s">
        <v>3361</v>
      </c>
      <c r="X904" s="213" t="s">
        <v>852</v>
      </c>
      <c r="Y904" s="213" t="s">
        <v>4999</v>
      </c>
      <c r="Z904" s="213" t="s">
        <v>3125</v>
      </c>
      <c r="AA904" s="213">
        <v>15</v>
      </c>
      <c r="AB904" s="213">
        <v>130</v>
      </c>
      <c r="AC904" s="207" t="s">
        <v>4530</v>
      </c>
      <c r="AD904"/>
      <c r="AE904" s="206"/>
      <c r="AF904" s="94"/>
      <c r="AG904" s="94"/>
      <c r="AH904" s="94"/>
      <c r="AI904" s="94"/>
      <c r="AJ904" s="94"/>
      <c r="AK904" s="94"/>
      <c r="AL904" s="94"/>
      <c r="AM904" s="254"/>
      <c r="AN904" s="254"/>
      <c r="AO904" s="94"/>
      <c r="AP904" s="94"/>
      <c r="AQ904" s="94"/>
      <c r="AR904" s="94"/>
      <c r="AS904" s="207"/>
    </row>
    <row r="905" spans="13:45" ht="12.75">
      <c r="M905" s="104"/>
      <c r="O905" s="206" t="s">
        <v>1043</v>
      </c>
      <c r="P905" s="94" t="s">
        <v>1044</v>
      </c>
      <c r="Q905" s="180">
        <v>286741</v>
      </c>
      <c r="R905" s="258">
        <v>3200</v>
      </c>
      <c r="S905" s="259">
        <v>65</v>
      </c>
      <c r="T905" s="213" t="s">
        <v>5000</v>
      </c>
      <c r="U905" s="213" t="s">
        <v>851</v>
      </c>
      <c r="V905" s="213" t="s">
        <v>3439</v>
      </c>
      <c r="W905" s="213" t="s">
        <v>3361</v>
      </c>
      <c r="X905" s="213" t="s">
        <v>852</v>
      </c>
      <c r="Y905" s="213" t="s">
        <v>4999</v>
      </c>
      <c r="Z905" s="213" t="s">
        <v>3356</v>
      </c>
      <c r="AA905" s="213">
        <v>65</v>
      </c>
      <c r="AB905" s="213">
        <v>65</v>
      </c>
      <c r="AC905" s="207" t="s">
        <v>4530</v>
      </c>
      <c r="AD905"/>
      <c r="AE905" s="206"/>
      <c r="AF905" s="94"/>
      <c r="AG905" s="94"/>
      <c r="AH905" s="94"/>
      <c r="AI905" s="94"/>
      <c r="AJ905" s="94"/>
      <c r="AK905" s="94"/>
      <c r="AL905" s="94"/>
      <c r="AM905" s="254"/>
      <c r="AN905" s="254"/>
      <c r="AO905" s="94"/>
      <c r="AP905" s="94"/>
      <c r="AQ905" s="94"/>
      <c r="AR905" s="94"/>
      <c r="AS905" s="207"/>
    </row>
    <row r="906" spans="13:45" ht="12.75">
      <c r="M906" s="104"/>
      <c r="O906" s="206" t="s">
        <v>1045</v>
      </c>
      <c r="P906" s="94" t="s">
        <v>1046</v>
      </c>
      <c r="Q906" s="180">
        <v>346922</v>
      </c>
      <c r="R906" s="258">
        <v>3200</v>
      </c>
      <c r="S906" s="259">
        <v>75</v>
      </c>
      <c r="T906" s="213" t="s">
        <v>5000</v>
      </c>
      <c r="U906" s="213" t="s">
        <v>851</v>
      </c>
      <c r="V906" s="213" t="s">
        <v>3439</v>
      </c>
      <c r="W906" s="213" t="s">
        <v>3361</v>
      </c>
      <c r="X906" s="213" t="s">
        <v>852</v>
      </c>
      <c r="Y906" s="213" t="s">
        <v>4999</v>
      </c>
      <c r="Z906" s="213" t="s">
        <v>4549</v>
      </c>
      <c r="AA906" s="213">
        <v>75</v>
      </c>
      <c r="AB906" s="213">
        <v>75</v>
      </c>
      <c r="AC906" s="207" t="s">
        <v>4530</v>
      </c>
      <c r="AD906"/>
      <c r="AE906" s="206"/>
      <c r="AF906" s="94"/>
      <c r="AG906" s="94"/>
      <c r="AH906" s="94"/>
      <c r="AI906" s="94"/>
      <c r="AJ906" s="94"/>
      <c r="AK906" s="94"/>
      <c r="AL906" s="94"/>
      <c r="AM906" s="254"/>
      <c r="AN906" s="254"/>
      <c r="AO906" s="94"/>
      <c r="AP906" s="94"/>
      <c r="AQ906" s="94"/>
      <c r="AR906" s="94"/>
      <c r="AS906" s="207"/>
    </row>
    <row r="907" spans="13:45" ht="12.75">
      <c r="M907" s="104"/>
      <c r="O907" s="206" t="s">
        <v>1047</v>
      </c>
      <c r="P907" s="94" t="s">
        <v>1048</v>
      </c>
      <c r="Q907" s="180">
        <v>357577</v>
      </c>
      <c r="R907" s="258">
        <v>3200</v>
      </c>
      <c r="S907" s="259" t="s">
        <v>847</v>
      </c>
      <c r="T907" s="213" t="s">
        <v>5000</v>
      </c>
      <c r="U907" s="213" t="s">
        <v>851</v>
      </c>
      <c r="V907" s="213" t="s">
        <v>3439</v>
      </c>
      <c r="W907" s="213" t="s">
        <v>3361</v>
      </c>
      <c r="X907" s="213" t="s">
        <v>852</v>
      </c>
      <c r="Y907" s="213" t="s">
        <v>4999</v>
      </c>
      <c r="Z907" s="213" t="s">
        <v>3470</v>
      </c>
      <c r="AA907" s="213">
        <v>75</v>
      </c>
      <c r="AB907" s="213">
        <v>85</v>
      </c>
      <c r="AC907" s="207" t="s">
        <v>4530</v>
      </c>
      <c r="AD907"/>
      <c r="AE907" s="206"/>
      <c r="AF907" s="94"/>
      <c r="AG907" s="94"/>
      <c r="AH907" s="94"/>
      <c r="AI907" s="94"/>
      <c r="AJ907" s="94"/>
      <c r="AK907" s="94"/>
      <c r="AL907" s="94"/>
      <c r="AM907" s="254"/>
      <c r="AN907" s="254"/>
      <c r="AO907" s="94"/>
      <c r="AP907" s="94"/>
      <c r="AQ907" s="94"/>
      <c r="AR907" s="94"/>
      <c r="AS907" s="207"/>
    </row>
    <row r="908" spans="13:45" ht="12.75">
      <c r="M908" s="104"/>
      <c r="O908" s="206" t="s">
        <v>1049</v>
      </c>
      <c r="P908" s="94" t="s">
        <v>1050</v>
      </c>
      <c r="Q908" s="180">
        <v>225583</v>
      </c>
      <c r="R908" s="258">
        <v>1250</v>
      </c>
      <c r="S908" s="259">
        <v>75</v>
      </c>
      <c r="T908" s="213" t="s">
        <v>5000</v>
      </c>
      <c r="U908" s="213" t="s">
        <v>851</v>
      </c>
      <c r="V908" s="213" t="s">
        <v>3443</v>
      </c>
      <c r="W908" s="213" t="s">
        <v>3572</v>
      </c>
      <c r="X908" s="213" t="s">
        <v>852</v>
      </c>
      <c r="Y908" s="213" t="s">
        <v>4999</v>
      </c>
      <c r="Z908" s="213" t="s">
        <v>4549</v>
      </c>
      <c r="AA908" s="213">
        <v>75</v>
      </c>
      <c r="AB908" s="213">
        <v>75</v>
      </c>
      <c r="AC908" s="207" t="s">
        <v>4530</v>
      </c>
      <c r="AD908"/>
      <c r="AE908" s="206"/>
      <c r="AF908" s="94"/>
      <c r="AG908" s="94"/>
      <c r="AH908" s="94"/>
      <c r="AI908" s="94"/>
      <c r="AJ908" s="94"/>
      <c r="AK908" s="94"/>
      <c r="AL908" s="94"/>
      <c r="AM908" s="254"/>
      <c r="AN908" s="254"/>
      <c r="AO908" s="94"/>
      <c r="AP908" s="94"/>
      <c r="AQ908" s="94"/>
      <c r="AR908" s="94"/>
      <c r="AS908" s="207"/>
    </row>
    <row r="909" spans="13:45" ht="12.75">
      <c r="M909" s="104"/>
      <c r="O909" s="206" t="s">
        <v>1051</v>
      </c>
      <c r="P909" s="94" t="s">
        <v>1841</v>
      </c>
      <c r="Q909" s="180">
        <v>236088</v>
      </c>
      <c r="R909" s="258">
        <v>1250</v>
      </c>
      <c r="S909" s="259">
        <v>100</v>
      </c>
      <c r="T909" s="213" t="s">
        <v>5000</v>
      </c>
      <c r="U909" s="213" t="s">
        <v>851</v>
      </c>
      <c r="V909" s="213" t="s">
        <v>3443</v>
      </c>
      <c r="W909" s="213" t="s">
        <v>3572</v>
      </c>
      <c r="X909" s="213" t="s">
        <v>852</v>
      </c>
      <c r="Y909" s="213" t="s">
        <v>4999</v>
      </c>
      <c r="Z909" s="213" t="s">
        <v>3470</v>
      </c>
      <c r="AA909" s="213">
        <v>75</v>
      </c>
      <c r="AB909" s="213">
        <v>85</v>
      </c>
      <c r="AC909" s="207" t="s">
        <v>4530</v>
      </c>
      <c r="AD909"/>
      <c r="AE909" s="206"/>
      <c r="AF909" s="94"/>
      <c r="AG909" s="94"/>
      <c r="AH909" s="94"/>
      <c r="AI909" s="94"/>
      <c r="AJ909" s="94"/>
      <c r="AK909" s="94"/>
      <c r="AL909" s="94"/>
      <c r="AM909" s="254"/>
      <c r="AN909" s="254"/>
      <c r="AO909" s="94"/>
      <c r="AP909" s="94"/>
      <c r="AQ909" s="94"/>
      <c r="AR909" s="94"/>
      <c r="AS909" s="207"/>
    </row>
    <row r="910" spans="13:45" ht="12.75">
      <c r="M910" s="104"/>
      <c r="O910" s="206" t="s">
        <v>1842</v>
      </c>
      <c r="P910" s="94" t="s">
        <v>1843</v>
      </c>
      <c r="Q910" s="180">
        <v>257097</v>
      </c>
      <c r="R910" s="258">
        <v>1600</v>
      </c>
      <c r="S910" s="259">
        <v>75</v>
      </c>
      <c r="T910" s="213" t="s">
        <v>5000</v>
      </c>
      <c r="U910" s="213" t="s">
        <v>851</v>
      </c>
      <c r="V910" s="213" t="s">
        <v>3443</v>
      </c>
      <c r="W910" s="213" t="s">
        <v>3572</v>
      </c>
      <c r="X910" s="213" t="s">
        <v>852</v>
      </c>
      <c r="Y910" s="213" t="s">
        <v>4999</v>
      </c>
      <c r="Z910" s="213" t="s">
        <v>4549</v>
      </c>
      <c r="AA910" s="213">
        <v>75</v>
      </c>
      <c r="AB910" s="213">
        <v>75</v>
      </c>
      <c r="AC910" s="207" t="s">
        <v>4530</v>
      </c>
      <c r="AD910"/>
      <c r="AE910" s="206"/>
      <c r="AF910" s="94"/>
      <c r="AG910" s="94"/>
      <c r="AH910" s="94"/>
      <c r="AI910" s="94"/>
      <c r="AJ910" s="94"/>
      <c r="AK910" s="94"/>
      <c r="AL910" s="94"/>
      <c r="AM910" s="254"/>
      <c r="AN910" s="254"/>
      <c r="AO910" s="94"/>
      <c r="AP910" s="94"/>
      <c r="AQ910" s="94"/>
      <c r="AR910" s="94"/>
      <c r="AS910" s="207"/>
    </row>
    <row r="911" spans="13:45" ht="12.75">
      <c r="M911" s="104"/>
      <c r="O911" s="206" t="s">
        <v>1844</v>
      </c>
      <c r="P911" s="94" t="s">
        <v>1845</v>
      </c>
      <c r="Q911" s="180">
        <v>266531</v>
      </c>
      <c r="R911" s="258">
        <v>1600</v>
      </c>
      <c r="S911" s="259">
        <v>100</v>
      </c>
      <c r="T911" s="213" t="s">
        <v>5000</v>
      </c>
      <c r="U911" s="213" t="s">
        <v>851</v>
      </c>
      <c r="V911" s="213" t="s">
        <v>3443</v>
      </c>
      <c r="W911" s="213" t="s">
        <v>3572</v>
      </c>
      <c r="X911" s="213" t="s">
        <v>852</v>
      </c>
      <c r="Y911" s="213" t="s">
        <v>4999</v>
      </c>
      <c r="Z911" s="213" t="s">
        <v>3470</v>
      </c>
      <c r="AA911" s="213">
        <v>75</v>
      </c>
      <c r="AB911" s="213">
        <v>85</v>
      </c>
      <c r="AC911" s="207" t="s">
        <v>4530</v>
      </c>
      <c r="AD911"/>
      <c r="AE911" s="206"/>
      <c r="AF911" s="94"/>
      <c r="AG911" s="94"/>
      <c r="AH911" s="94"/>
      <c r="AI911" s="94"/>
      <c r="AJ911" s="94"/>
      <c r="AK911" s="94"/>
      <c r="AL911" s="94"/>
      <c r="AM911" s="254"/>
      <c r="AN911" s="254"/>
      <c r="AO911" s="94"/>
      <c r="AP911" s="94"/>
      <c r="AQ911" s="94"/>
      <c r="AR911" s="94"/>
      <c r="AS911" s="207"/>
    </row>
    <row r="912" spans="13:45" ht="12.75">
      <c r="M912" s="104"/>
      <c r="O912" s="206" t="s">
        <v>1846</v>
      </c>
      <c r="P912" s="94" t="s">
        <v>1847</v>
      </c>
      <c r="Q912" s="180">
        <v>275539</v>
      </c>
      <c r="R912" s="258">
        <v>2000</v>
      </c>
      <c r="S912" s="259">
        <v>75</v>
      </c>
      <c r="T912" s="213" t="s">
        <v>5000</v>
      </c>
      <c r="U912" s="213" t="s">
        <v>851</v>
      </c>
      <c r="V912" s="213" t="s">
        <v>3443</v>
      </c>
      <c r="W912" s="213" t="s">
        <v>3572</v>
      </c>
      <c r="X912" s="213" t="s">
        <v>852</v>
      </c>
      <c r="Y912" s="213" t="s">
        <v>4999</v>
      </c>
      <c r="Z912" s="213" t="s">
        <v>4549</v>
      </c>
      <c r="AA912" s="213">
        <v>75</v>
      </c>
      <c r="AB912" s="213">
        <v>75</v>
      </c>
      <c r="AC912" s="207" t="s">
        <v>4530</v>
      </c>
      <c r="AD912"/>
      <c r="AE912" s="206"/>
      <c r="AF912" s="94"/>
      <c r="AG912" s="94"/>
      <c r="AH912" s="94"/>
      <c r="AI912" s="94"/>
      <c r="AJ912" s="94"/>
      <c r="AK912" s="94"/>
      <c r="AL912" s="94"/>
      <c r="AM912" s="254"/>
      <c r="AN912" s="254"/>
      <c r="AO912" s="94"/>
      <c r="AP912" s="94"/>
      <c r="AQ912" s="94"/>
      <c r="AR912" s="94"/>
      <c r="AS912" s="207"/>
    </row>
    <row r="913" spans="13:45" ht="12.75">
      <c r="M913" s="104"/>
      <c r="O913" s="206" t="s">
        <v>1848</v>
      </c>
      <c r="P913" s="94" t="s">
        <v>1849</v>
      </c>
      <c r="Q913" s="180">
        <v>282212</v>
      </c>
      <c r="R913" s="258">
        <v>2000</v>
      </c>
      <c r="S913" s="259">
        <v>100</v>
      </c>
      <c r="T913" s="213" t="s">
        <v>5000</v>
      </c>
      <c r="U913" s="213" t="s">
        <v>851</v>
      </c>
      <c r="V913" s="213" t="s">
        <v>3443</v>
      </c>
      <c r="W913" s="213" t="s">
        <v>3572</v>
      </c>
      <c r="X913" s="213" t="s">
        <v>852</v>
      </c>
      <c r="Y913" s="213" t="s">
        <v>4999</v>
      </c>
      <c r="Z913" s="213" t="s">
        <v>3470</v>
      </c>
      <c r="AA913" s="213">
        <v>75</v>
      </c>
      <c r="AB913" s="213">
        <v>85</v>
      </c>
      <c r="AC913" s="207" t="s">
        <v>3651</v>
      </c>
      <c r="AD913"/>
      <c r="AE913" s="206"/>
      <c r="AF913" s="94"/>
      <c r="AG913" s="94"/>
      <c r="AH913" s="94"/>
      <c r="AI913" s="94"/>
      <c r="AJ913" s="94"/>
      <c r="AK913" s="94"/>
      <c r="AL913" s="94"/>
      <c r="AM913" s="254"/>
      <c r="AN913" s="254"/>
      <c r="AO913" s="94"/>
      <c r="AP913" s="94"/>
      <c r="AQ913" s="94"/>
      <c r="AR913" s="94"/>
      <c r="AS913" s="207"/>
    </row>
    <row r="914" spans="13:45" ht="12.75">
      <c r="M914" s="104"/>
      <c r="O914" s="206" t="s">
        <v>1850</v>
      </c>
      <c r="P914" s="94" t="s">
        <v>1851</v>
      </c>
      <c r="Q914" s="180">
        <v>311285</v>
      </c>
      <c r="R914" s="258">
        <v>2000</v>
      </c>
      <c r="S914" s="259" t="s">
        <v>5004</v>
      </c>
      <c r="T914" s="213" t="s">
        <v>5000</v>
      </c>
      <c r="U914" s="213" t="s">
        <v>851</v>
      </c>
      <c r="V914" s="213" t="s">
        <v>3443</v>
      </c>
      <c r="W914" s="213" t="s">
        <v>3572</v>
      </c>
      <c r="X914" s="213" t="s">
        <v>852</v>
      </c>
      <c r="Y914" s="213" t="s">
        <v>4999</v>
      </c>
      <c r="Z914" s="213" t="s">
        <v>3125</v>
      </c>
      <c r="AA914" s="213">
        <v>15</v>
      </c>
      <c r="AB914" s="213">
        <v>130</v>
      </c>
      <c r="AC914" s="207" t="s">
        <v>4530</v>
      </c>
      <c r="AD914"/>
      <c r="AE914" s="206"/>
      <c r="AF914" s="94"/>
      <c r="AG914" s="94"/>
      <c r="AH914" s="94"/>
      <c r="AI914" s="94"/>
      <c r="AJ914" s="94"/>
      <c r="AK914" s="94"/>
      <c r="AL914" s="94"/>
      <c r="AM914" s="254"/>
      <c r="AN914" s="254"/>
      <c r="AO914" s="94"/>
      <c r="AP914" s="94"/>
      <c r="AQ914" s="94"/>
      <c r="AR914" s="94"/>
      <c r="AS914" s="207"/>
    </row>
    <row r="915" spans="13:45" ht="12.75">
      <c r="M915" s="104"/>
      <c r="O915" s="206" t="s">
        <v>1852</v>
      </c>
      <c r="P915" s="94" t="s">
        <v>1853</v>
      </c>
      <c r="Q915" s="180">
        <v>293524</v>
      </c>
      <c r="R915" s="258">
        <v>2500</v>
      </c>
      <c r="S915" s="259">
        <v>65</v>
      </c>
      <c r="T915" s="213" t="s">
        <v>5000</v>
      </c>
      <c r="U915" s="213" t="s">
        <v>851</v>
      </c>
      <c r="V915" s="213" t="s">
        <v>3443</v>
      </c>
      <c r="W915" s="213" t="s">
        <v>3572</v>
      </c>
      <c r="X915" s="213" t="s">
        <v>852</v>
      </c>
      <c r="Y915" s="213" t="s">
        <v>4999</v>
      </c>
      <c r="Z915" s="213" t="s">
        <v>3356</v>
      </c>
      <c r="AA915" s="213">
        <v>65</v>
      </c>
      <c r="AB915" s="213">
        <v>65</v>
      </c>
      <c r="AC915" s="207" t="s">
        <v>4530</v>
      </c>
      <c r="AD915"/>
      <c r="AE915" s="206"/>
      <c r="AF915" s="94"/>
      <c r="AG915" s="94"/>
      <c r="AH915" s="94"/>
      <c r="AI915" s="94"/>
      <c r="AJ915" s="94"/>
      <c r="AK915" s="94"/>
      <c r="AL915" s="94"/>
      <c r="AM915" s="254"/>
      <c r="AN915" s="254"/>
      <c r="AO915" s="94"/>
      <c r="AP915" s="94"/>
      <c r="AQ915" s="94"/>
      <c r="AR915" s="94"/>
      <c r="AS915" s="207"/>
    </row>
    <row r="916" spans="13:45" ht="12.75">
      <c r="M916" s="104"/>
      <c r="O916" s="206" t="s">
        <v>1854</v>
      </c>
      <c r="P916" s="94" t="s">
        <v>1855</v>
      </c>
      <c r="Q916" s="180">
        <v>322897</v>
      </c>
      <c r="R916" s="258">
        <v>2500</v>
      </c>
      <c r="S916" s="259">
        <v>75</v>
      </c>
      <c r="T916" s="213" t="s">
        <v>5000</v>
      </c>
      <c r="U916" s="213" t="s">
        <v>851</v>
      </c>
      <c r="V916" s="213" t="s">
        <v>3443</v>
      </c>
      <c r="W916" s="213" t="s">
        <v>3572</v>
      </c>
      <c r="X916" s="213" t="s">
        <v>852</v>
      </c>
      <c r="Y916" s="213" t="s">
        <v>4999</v>
      </c>
      <c r="Z916" s="213" t="s">
        <v>4549</v>
      </c>
      <c r="AA916" s="213">
        <v>75</v>
      </c>
      <c r="AB916" s="213">
        <v>75</v>
      </c>
      <c r="AC916" s="207" t="s">
        <v>4530</v>
      </c>
      <c r="AD916"/>
      <c r="AE916" s="206"/>
      <c r="AF916" s="94"/>
      <c r="AG916" s="94"/>
      <c r="AH916" s="94"/>
      <c r="AI916" s="94"/>
      <c r="AJ916" s="94"/>
      <c r="AK916" s="94"/>
      <c r="AL916" s="94"/>
      <c r="AM916" s="254"/>
      <c r="AN916" s="254"/>
      <c r="AO916" s="94"/>
      <c r="AP916" s="94"/>
      <c r="AQ916" s="94"/>
      <c r="AR916" s="94"/>
      <c r="AS916" s="207"/>
    </row>
    <row r="917" spans="13:45" ht="12.75">
      <c r="M917" s="104"/>
      <c r="O917" s="206" t="s">
        <v>1856</v>
      </c>
      <c r="P917" s="94" t="s">
        <v>325</v>
      </c>
      <c r="Q917" s="180">
        <v>330166</v>
      </c>
      <c r="R917" s="258">
        <v>2500</v>
      </c>
      <c r="S917" s="259">
        <v>100</v>
      </c>
      <c r="T917" s="213" t="s">
        <v>5000</v>
      </c>
      <c r="U917" s="213" t="s">
        <v>851</v>
      </c>
      <c r="V917" s="213" t="s">
        <v>3443</v>
      </c>
      <c r="W917" s="213" t="s">
        <v>3572</v>
      </c>
      <c r="X917" s="213" t="s">
        <v>852</v>
      </c>
      <c r="Y917" s="213" t="s">
        <v>4999</v>
      </c>
      <c r="Z917" s="213" t="s">
        <v>3470</v>
      </c>
      <c r="AA917" s="213">
        <v>75</v>
      </c>
      <c r="AB917" s="213">
        <v>85</v>
      </c>
      <c r="AC917" s="207" t="s">
        <v>3651</v>
      </c>
      <c r="AD917"/>
      <c r="AE917" s="206"/>
      <c r="AF917" s="94"/>
      <c r="AG917" s="94"/>
      <c r="AH917" s="94"/>
      <c r="AI917" s="94"/>
      <c r="AJ917" s="94"/>
      <c r="AK917" s="94"/>
      <c r="AL917" s="94"/>
      <c r="AM917" s="254"/>
      <c r="AN917" s="254"/>
      <c r="AO917" s="94"/>
      <c r="AP917" s="94"/>
      <c r="AQ917" s="94"/>
      <c r="AR917" s="94"/>
      <c r="AS917" s="207"/>
    </row>
    <row r="918" spans="13:45" ht="12.75">
      <c r="M918" s="104"/>
      <c r="O918" s="206" t="s">
        <v>326</v>
      </c>
      <c r="P918" s="94" t="s">
        <v>327</v>
      </c>
      <c r="Q918" s="180">
        <v>355042</v>
      </c>
      <c r="R918" s="258">
        <v>2500</v>
      </c>
      <c r="S918" s="259" t="s">
        <v>5004</v>
      </c>
      <c r="T918" s="213" t="s">
        <v>5000</v>
      </c>
      <c r="U918" s="213" t="s">
        <v>851</v>
      </c>
      <c r="V918" s="213" t="s">
        <v>3443</v>
      </c>
      <c r="W918" s="213" t="s">
        <v>3572</v>
      </c>
      <c r="X918" s="213" t="s">
        <v>852</v>
      </c>
      <c r="Y918" s="213" t="s">
        <v>4999</v>
      </c>
      <c r="Z918" s="213" t="s">
        <v>3125</v>
      </c>
      <c r="AA918" s="213">
        <v>15</v>
      </c>
      <c r="AB918" s="213">
        <v>130</v>
      </c>
      <c r="AC918" s="207" t="s">
        <v>4530</v>
      </c>
      <c r="AD918"/>
      <c r="AE918" s="206"/>
      <c r="AF918" s="94"/>
      <c r="AG918" s="94"/>
      <c r="AH918" s="94"/>
      <c r="AI918" s="94"/>
      <c r="AJ918" s="94"/>
      <c r="AK918" s="94"/>
      <c r="AL918" s="94"/>
      <c r="AM918" s="254"/>
      <c r="AN918" s="254"/>
      <c r="AO918" s="94"/>
      <c r="AP918" s="94"/>
      <c r="AQ918" s="94"/>
      <c r="AR918" s="94"/>
      <c r="AS918" s="207"/>
    </row>
    <row r="919" spans="13:45" ht="12.75">
      <c r="M919" s="104"/>
      <c r="O919" s="206" t="s">
        <v>328</v>
      </c>
      <c r="P919" s="94" t="s">
        <v>329</v>
      </c>
      <c r="Q919" s="180">
        <v>330392</v>
      </c>
      <c r="R919" s="258">
        <v>3200</v>
      </c>
      <c r="S919" s="259">
        <v>65</v>
      </c>
      <c r="T919" s="213" t="s">
        <v>5000</v>
      </c>
      <c r="U919" s="213" t="s">
        <v>851</v>
      </c>
      <c r="V919" s="213" t="s">
        <v>3443</v>
      </c>
      <c r="W919" s="213" t="s">
        <v>3572</v>
      </c>
      <c r="X919" s="213" t="s">
        <v>852</v>
      </c>
      <c r="Y919" s="213" t="s">
        <v>4999</v>
      </c>
      <c r="Z919" s="213" t="s">
        <v>3356</v>
      </c>
      <c r="AA919" s="213">
        <v>65</v>
      </c>
      <c r="AB919" s="213">
        <v>65</v>
      </c>
      <c r="AC919" s="207" t="s">
        <v>4530</v>
      </c>
      <c r="AD919"/>
      <c r="AE919" s="206"/>
      <c r="AF919" s="94"/>
      <c r="AG919" s="94"/>
      <c r="AH919" s="94"/>
      <c r="AI919" s="94"/>
      <c r="AJ919" s="94"/>
      <c r="AK919" s="94"/>
      <c r="AL919" s="94"/>
      <c r="AM919" s="254"/>
      <c r="AN919" s="254"/>
      <c r="AO919" s="94"/>
      <c r="AP919" s="94"/>
      <c r="AQ919" s="94"/>
      <c r="AR919" s="94"/>
      <c r="AS919" s="207"/>
    </row>
    <row r="920" spans="13:45" ht="12.75">
      <c r="M920" s="104"/>
      <c r="O920" s="206" t="s">
        <v>330</v>
      </c>
      <c r="P920" s="94" t="s">
        <v>331</v>
      </c>
      <c r="Q920" s="180">
        <v>345066</v>
      </c>
      <c r="R920" s="258">
        <v>3200</v>
      </c>
      <c r="S920" s="259">
        <v>75</v>
      </c>
      <c r="T920" s="213" t="s">
        <v>5000</v>
      </c>
      <c r="U920" s="213" t="s">
        <v>851</v>
      </c>
      <c r="V920" s="213" t="s">
        <v>3443</v>
      </c>
      <c r="W920" s="213" t="s">
        <v>3572</v>
      </c>
      <c r="X920" s="213" t="s">
        <v>852</v>
      </c>
      <c r="Y920" s="213" t="s">
        <v>4999</v>
      </c>
      <c r="Z920" s="213" t="s">
        <v>4549</v>
      </c>
      <c r="AA920" s="213">
        <v>75</v>
      </c>
      <c r="AB920" s="213">
        <v>75</v>
      </c>
      <c r="AC920" s="207" t="s">
        <v>4530</v>
      </c>
      <c r="AD920"/>
      <c r="AE920" s="206"/>
      <c r="AF920" s="94"/>
      <c r="AG920" s="94"/>
      <c r="AH920" s="94"/>
      <c r="AI920" s="94"/>
      <c r="AJ920" s="94"/>
      <c r="AK920" s="94"/>
      <c r="AL920" s="94"/>
      <c r="AM920" s="254"/>
      <c r="AN920" s="254"/>
      <c r="AO920" s="94"/>
      <c r="AP920" s="94"/>
      <c r="AQ920" s="94"/>
      <c r="AR920" s="94"/>
      <c r="AS920" s="207"/>
    </row>
    <row r="921" spans="13:45" ht="12.75">
      <c r="M921" s="104"/>
      <c r="O921" s="206" t="s">
        <v>332</v>
      </c>
      <c r="P921" s="94" t="s">
        <v>333</v>
      </c>
      <c r="Q921" s="180">
        <v>351137</v>
      </c>
      <c r="R921" s="258">
        <v>3200</v>
      </c>
      <c r="S921" s="259" t="s">
        <v>847</v>
      </c>
      <c r="T921" s="213" t="s">
        <v>5000</v>
      </c>
      <c r="U921" s="213" t="s">
        <v>851</v>
      </c>
      <c r="V921" s="213" t="s">
        <v>3443</v>
      </c>
      <c r="W921" s="213" t="s">
        <v>3572</v>
      </c>
      <c r="X921" s="213" t="s">
        <v>852</v>
      </c>
      <c r="Y921" s="213" t="s">
        <v>4999</v>
      </c>
      <c r="Z921" s="213" t="s">
        <v>3470</v>
      </c>
      <c r="AA921" s="213">
        <v>75</v>
      </c>
      <c r="AB921" s="213">
        <v>85</v>
      </c>
      <c r="AC921" s="207" t="s">
        <v>4530</v>
      </c>
      <c r="AD921"/>
      <c r="AE921" s="206"/>
      <c r="AF921" s="94"/>
      <c r="AG921" s="94"/>
      <c r="AH921" s="94"/>
      <c r="AI921" s="94"/>
      <c r="AJ921" s="94"/>
      <c r="AK921" s="94"/>
      <c r="AL921" s="94"/>
      <c r="AM921" s="254"/>
      <c r="AN921" s="254"/>
      <c r="AO921" s="94"/>
      <c r="AP921" s="94"/>
      <c r="AQ921" s="94"/>
      <c r="AR921" s="94"/>
      <c r="AS921" s="207"/>
    </row>
    <row r="922" spans="13:45" ht="12.75">
      <c r="M922" s="104"/>
      <c r="O922" s="206" t="s">
        <v>334</v>
      </c>
      <c r="P922" s="94" t="s">
        <v>335</v>
      </c>
      <c r="Q922" s="180">
        <v>254758</v>
      </c>
      <c r="R922" s="258">
        <v>1250</v>
      </c>
      <c r="S922" s="259">
        <v>75</v>
      </c>
      <c r="T922" s="213" t="s">
        <v>5000</v>
      </c>
      <c r="U922" s="213" t="s">
        <v>910</v>
      </c>
      <c r="V922" s="213" t="s">
        <v>3439</v>
      </c>
      <c r="W922" s="213" t="s">
        <v>3361</v>
      </c>
      <c r="X922" s="213" t="s">
        <v>852</v>
      </c>
      <c r="Y922" s="213" t="s">
        <v>4999</v>
      </c>
      <c r="Z922" s="213" t="s">
        <v>4549</v>
      </c>
      <c r="AA922" s="213">
        <v>75</v>
      </c>
      <c r="AB922" s="213">
        <v>75</v>
      </c>
      <c r="AC922" s="207" t="s">
        <v>4530</v>
      </c>
      <c r="AD922"/>
      <c r="AE922" s="206"/>
      <c r="AF922" s="94"/>
      <c r="AG922" s="94"/>
      <c r="AH922" s="94"/>
      <c r="AI922" s="94"/>
      <c r="AJ922" s="94"/>
      <c r="AK922" s="94"/>
      <c r="AL922" s="94"/>
      <c r="AM922" s="254"/>
      <c r="AN922" s="254"/>
      <c r="AO922" s="94"/>
      <c r="AP922" s="94"/>
      <c r="AQ922" s="94"/>
      <c r="AR922" s="94"/>
      <c r="AS922" s="207"/>
    </row>
    <row r="923" spans="13:45" ht="12.75">
      <c r="M923" s="104"/>
      <c r="O923" s="206" t="s">
        <v>336</v>
      </c>
      <c r="P923" s="94" t="s">
        <v>337</v>
      </c>
      <c r="Q923" s="180">
        <v>255715</v>
      </c>
      <c r="R923" s="258">
        <v>1250</v>
      </c>
      <c r="S923" s="259">
        <v>100</v>
      </c>
      <c r="T923" s="213" t="s">
        <v>5000</v>
      </c>
      <c r="U923" s="213" t="s">
        <v>910</v>
      </c>
      <c r="V923" s="213" t="s">
        <v>3439</v>
      </c>
      <c r="W923" s="213" t="s">
        <v>3361</v>
      </c>
      <c r="X923" s="213" t="s">
        <v>852</v>
      </c>
      <c r="Y923" s="213" t="s">
        <v>4999</v>
      </c>
      <c r="Z923" s="213" t="s">
        <v>3470</v>
      </c>
      <c r="AA923" s="213">
        <v>75</v>
      </c>
      <c r="AB923" s="213">
        <v>85</v>
      </c>
      <c r="AC923" s="207" t="s">
        <v>4530</v>
      </c>
      <c r="AD923"/>
      <c r="AE923" s="206"/>
      <c r="AF923" s="94"/>
      <c r="AG923" s="94"/>
      <c r="AH923" s="94"/>
      <c r="AI923" s="94"/>
      <c r="AJ923" s="94"/>
      <c r="AK923" s="94"/>
      <c r="AL923" s="94"/>
      <c r="AM923" s="254"/>
      <c r="AN923" s="254"/>
      <c r="AO923" s="94"/>
      <c r="AP923" s="94"/>
      <c r="AQ923" s="94"/>
      <c r="AR923" s="94"/>
      <c r="AS923" s="207"/>
    </row>
    <row r="924" spans="13:45" ht="12.75">
      <c r="M924" s="104"/>
      <c r="O924" s="206" t="s">
        <v>338</v>
      </c>
      <c r="P924" s="94" t="s">
        <v>339</v>
      </c>
      <c r="Q924" s="180">
        <v>283463</v>
      </c>
      <c r="R924" s="258">
        <v>1600</v>
      </c>
      <c r="S924" s="259">
        <v>75</v>
      </c>
      <c r="T924" s="213" t="s">
        <v>5000</v>
      </c>
      <c r="U924" s="213" t="s">
        <v>910</v>
      </c>
      <c r="V924" s="213" t="s">
        <v>3439</v>
      </c>
      <c r="W924" s="213" t="s">
        <v>3361</v>
      </c>
      <c r="X924" s="213" t="s">
        <v>852</v>
      </c>
      <c r="Y924" s="213" t="s">
        <v>4999</v>
      </c>
      <c r="Z924" s="213" t="s">
        <v>4549</v>
      </c>
      <c r="AA924" s="213">
        <v>75</v>
      </c>
      <c r="AB924" s="213">
        <v>75</v>
      </c>
      <c r="AC924" s="207" t="s">
        <v>4530</v>
      </c>
      <c r="AD924"/>
      <c r="AE924" s="206"/>
      <c r="AF924" s="94"/>
      <c r="AG924" s="94"/>
      <c r="AH924" s="94"/>
      <c r="AI924" s="94"/>
      <c r="AJ924" s="94"/>
      <c r="AK924" s="94"/>
      <c r="AL924" s="94"/>
      <c r="AM924" s="254"/>
      <c r="AN924" s="254"/>
      <c r="AO924" s="94"/>
      <c r="AP924" s="94"/>
      <c r="AQ924" s="94"/>
      <c r="AR924" s="94"/>
      <c r="AS924" s="207"/>
    </row>
    <row r="925" spans="13:45" ht="12.75">
      <c r="M925" s="104"/>
      <c r="O925" s="206" t="s">
        <v>340</v>
      </c>
      <c r="P925" s="94" t="s">
        <v>341</v>
      </c>
      <c r="Q925" s="180">
        <v>282494</v>
      </c>
      <c r="R925" s="258">
        <v>1600</v>
      </c>
      <c r="S925" s="259">
        <v>100</v>
      </c>
      <c r="T925" s="213" t="s">
        <v>5000</v>
      </c>
      <c r="U925" s="213" t="s">
        <v>910</v>
      </c>
      <c r="V925" s="213" t="s">
        <v>3439</v>
      </c>
      <c r="W925" s="213" t="s">
        <v>3361</v>
      </c>
      <c r="X925" s="213" t="s">
        <v>852</v>
      </c>
      <c r="Y925" s="213" t="s">
        <v>4999</v>
      </c>
      <c r="Z925" s="213" t="s">
        <v>3470</v>
      </c>
      <c r="AA925" s="213">
        <v>75</v>
      </c>
      <c r="AB925" s="213">
        <v>85</v>
      </c>
      <c r="AC925" s="207" t="s">
        <v>4530</v>
      </c>
      <c r="AD925"/>
      <c r="AE925" s="206"/>
      <c r="AF925" s="94"/>
      <c r="AG925" s="94"/>
      <c r="AH925" s="94"/>
      <c r="AI925" s="94"/>
      <c r="AJ925" s="94"/>
      <c r="AK925" s="94"/>
      <c r="AL925" s="94"/>
      <c r="AM925" s="254"/>
      <c r="AN925" s="254"/>
      <c r="AO925" s="94"/>
      <c r="AP925" s="94"/>
      <c r="AQ925" s="94"/>
      <c r="AR925" s="94"/>
      <c r="AS925" s="207"/>
    </row>
    <row r="926" spans="13:45" ht="12.75">
      <c r="M926" s="104"/>
      <c r="O926" s="206" t="s">
        <v>342</v>
      </c>
      <c r="P926" s="94" t="s">
        <v>343</v>
      </c>
      <c r="Q926" s="180">
        <v>292874</v>
      </c>
      <c r="R926" s="258">
        <v>2000</v>
      </c>
      <c r="S926" s="259">
        <v>75</v>
      </c>
      <c r="T926" s="213" t="s">
        <v>5000</v>
      </c>
      <c r="U926" s="213" t="s">
        <v>910</v>
      </c>
      <c r="V926" s="213" t="s">
        <v>3439</v>
      </c>
      <c r="W926" s="213" t="s">
        <v>3361</v>
      </c>
      <c r="X926" s="213" t="s">
        <v>852</v>
      </c>
      <c r="Y926" s="213" t="s">
        <v>4999</v>
      </c>
      <c r="Z926" s="213" t="s">
        <v>4549</v>
      </c>
      <c r="AA926" s="213">
        <v>75</v>
      </c>
      <c r="AB926" s="213">
        <v>75</v>
      </c>
      <c r="AC926" s="207" t="s">
        <v>4530</v>
      </c>
      <c r="AD926"/>
      <c r="AE926" s="206"/>
      <c r="AF926" s="94"/>
      <c r="AG926" s="94"/>
      <c r="AH926" s="94"/>
      <c r="AI926" s="94"/>
      <c r="AJ926" s="94"/>
      <c r="AK926" s="94"/>
      <c r="AL926" s="94"/>
      <c r="AM926" s="254"/>
      <c r="AN926" s="254"/>
      <c r="AO926" s="94"/>
      <c r="AP926" s="94"/>
      <c r="AQ926" s="94"/>
      <c r="AR926" s="94"/>
      <c r="AS926" s="207"/>
    </row>
    <row r="927" spans="13:45" ht="12.75">
      <c r="M927" s="104"/>
      <c r="O927" s="206" t="s">
        <v>344</v>
      </c>
      <c r="P927" s="94" t="s">
        <v>345</v>
      </c>
      <c r="Q927" s="180">
        <v>325407</v>
      </c>
      <c r="R927" s="258">
        <v>2000</v>
      </c>
      <c r="S927" s="259">
        <v>100</v>
      </c>
      <c r="T927" s="213" t="s">
        <v>5000</v>
      </c>
      <c r="U927" s="213" t="s">
        <v>910</v>
      </c>
      <c r="V927" s="213" t="s">
        <v>3439</v>
      </c>
      <c r="W927" s="213" t="s">
        <v>3361</v>
      </c>
      <c r="X927" s="213" t="s">
        <v>852</v>
      </c>
      <c r="Y927" s="213" t="s">
        <v>4999</v>
      </c>
      <c r="Z927" s="213" t="s">
        <v>3470</v>
      </c>
      <c r="AA927" s="213">
        <v>75</v>
      </c>
      <c r="AB927" s="213">
        <v>85</v>
      </c>
      <c r="AC927" s="207" t="s">
        <v>3651</v>
      </c>
      <c r="AD927"/>
      <c r="AE927" s="206"/>
      <c r="AF927" s="94"/>
      <c r="AG927" s="94"/>
      <c r="AH927" s="94"/>
      <c r="AI927" s="94"/>
      <c r="AJ927" s="94"/>
      <c r="AK927" s="94"/>
      <c r="AL927" s="94"/>
      <c r="AM927" s="254"/>
      <c r="AN927" s="254"/>
      <c r="AO927" s="94"/>
      <c r="AP927" s="94"/>
      <c r="AQ927" s="94"/>
      <c r="AR927" s="94"/>
      <c r="AS927" s="207"/>
    </row>
    <row r="928" spans="13:45" ht="12.75">
      <c r="M928" s="104"/>
      <c r="O928" s="206" t="s">
        <v>346</v>
      </c>
      <c r="P928" s="94" t="s">
        <v>347</v>
      </c>
      <c r="Q928" s="180">
        <v>319378</v>
      </c>
      <c r="R928" s="258">
        <v>2000</v>
      </c>
      <c r="S928" s="259" t="s">
        <v>5004</v>
      </c>
      <c r="T928" s="213" t="s">
        <v>5000</v>
      </c>
      <c r="U928" s="213" t="s">
        <v>910</v>
      </c>
      <c r="V928" s="213" t="s">
        <v>3439</v>
      </c>
      <c r="W928" s="213" t="s">
        <v>3361</v>
      </c>
      <c r="X928" s="213" t="s">
        <v>852</v>
      </c>
      <c r="Y928" s="213" t="s">
        <v>4999</v>
      </c>
      <c r="Z928" s="213" t="s">
        <v>3125</v>
      </c>
      <c r="AA928" s="213">
        <v>15</v>
      </c>
      <c r="AB928" s="213">
        <v>130</v>
      </c>
      <c r="AC928" s="207" t="s">
        <v>4530</v>
      </c>
      <c r="AD928"/>
      <c r="AE928" s="206"/>
      <c r="AF928" s="94"/>
      <c r="AG928" s="94"/>
      <c r="AH928" s="94"/>
      <c r="AI928" s="94"/>
      <c r="AJ928" s="94"/>
      <c r="AK928" s="94"/>
      <c r="AL928" s="94"/>
      <c r="AM928" s="254"/>
      <c r="AN928" s="254"/>
      <c r="AO928" s="94"/>
      <c r="AP928" s="94"/>
      <c r="AQ928" s="94"/>
      <c r="AR928" s="94"/>
      <c r="AS928" s="207"/>
    </row>
    <row r="929" spans="13:45" ht="12.75">
      <c r="M929" s="104"/>
      <c r="O929" s="206" t="s">
        <v>348</v>
      </c>
      <c r="P929" s="94" t="s">
        <v>349</v>
      </c>
      <c r="Q929" s="180">
        <v>311792</v>
      </c>
      <c r="R929" s="258">
        <v>2500</v>
      </c>
      <c r="S929" s="259">
        <v>65</v>
      </c>
      <c r="T929" s="213" t="s">
        <v>5000</v>
      </c>
      <c r="U929" s="213" t="s">
        <v>910</v>
      </c>
      <c r="V929" s="213" t="s">
        <v>3439</v>
      </c>
      <c r="W929" s="213" t="s">
        <v>3361</v>
      </c>
      <c r="X929" s="213" t="s">
        <v>852</v>
      </c>
      <c r="Y929" s="213" t="s">
        <v>4999</v>
      </c>
      <c r="Z929" s="213" t="s">
        <v>3356</v>
      </c>
      <c r="AA929" s="213">
        <v>65</v>
      </c>
      <c r="AB929" s="213">
        <v>65</v>
      </c>
      <c r="AC929" s="207" t="s">
        <v>4530</v>
      </c>
      <c r="AD929"/>
      <c r="AE929" s="206"/>
      <c r="AF929" s="94"/>
      <c r="AG929" s="94"/>
      <c r="AH929" s="94"/>
      <c r="AI929" s="94"/>
      <c r="AJ929" s="94"/>
      <c r="AK929" s="94"/>
      <c r="AL929" s="94"/>
      <c r="AM929" s="254"/>
      <c r="AN929" s="254"/>
      <c r="AO929" s="94"/>
      <c r="AP929" s="94"/>
      <c r="AQ929" s="94"/>
      <c r="AR929" s="94"/>
      <c r="AS929" s="207"/>
    </row>
    <row r="930" spans="13:45" ht="12.75">
      <c r="M930" s="104"/>
      <c r="O930" s="206" t="s">
        <v>350</v>
      </c>
      <c r="P930" s="94" t="s">
        <v>1887</v>
      </c>
      <c r="Q930" s="180">
        <v>337539</v>
      </c>
      <c r="R930" s="258">
        <v>2500</v>
      </c>
      <c r="S930" s="259">
        <v>75</v>
      </c>
      <c r="T930" s="213" t="s">
        <v>5000</v>
      </c>
      <c r="U930" s="213" t="s">
        <v>910</v>
      </c>
      <c r="V930" s="213" t="s">
        <v>3439</v>
      </c>
      <c r="W930" s="213" t="s">
        <v>3361</v>
      </c>
      <c r="X930" s="213" t="s">
        <v>852</v>
      </c>
      <c r="Y930" s="213" t="s">
        <v>4999</v>
      </c>
      <c r="Z930" s="213" t="s">
        <v>4549</v>
      </c>
      <c r="AA930" s="213">
        <v>75</v>
      </c>
      <c r="AB930" s="213">
        <v>75</v>
      </c>
      <c r="AC930" s="207" t="s">
        <v>4530</v>
      </c>
      <c r="AD930"/>
      <c r="AE930" s="206"/>
      <c r="AF930" s="94"/>
      <c r="AG930" s="94"/>
      <c r="AH930" s="94"/>
      <c r="AI930" s="94"/>
      <c r="AJ930" s="94"/>
      <c r="AK930" s="94"/>
      <c r="AL930" s="94"/>
      <c r="AM930" s="254"/>
      <c r="AN930" s="254"/>
      <c r="AO930" s="94"/>
      <c r="AP930" s="94"/>
      <c r="AQ930" s="94"/>
      <c r="AR930" s="94"/>
      <c r="AS930" s="207"/>
    </row>
    <row r="931" spans="13:45" ht="12.75">
      <c r="M931" s="104"/>
      <c r="O931" s="206" t="s">
        <v>1888</v>
      </c>
      <c r="P931" s="94" t="s">
        <v>1889</v>
      </c>
      <c r="Q931" s="180">
        <v>376710</v>
      </c>
      <c r="R931" s="258">
        <v>2500</v>
      </c>
      <c r="S931" s="259">
        <v>100</v>
      </c>
      <c r="T931" s="213" t="s">
        <v>5000</v>
      </c>
      <c r="U931" s="213" t="s">
        <v>910</v>
      </c>
      <c r="V931" s="213" t="s">
        <v>3439</v>
      </c>
      <c r="W931" s="213" t="s">
        <v>3361</v>
      </c>
      <c r="X931" s="213" t="s">
        <v>852</v>
      </c>
      <c r="Y931" s="213" t="s">
        <v>4999</v>
      </c>
      <c r="Z931" s="213" t="s">
        <v>3470</v>
      </c>
      <c r="AA931" s="213">
        <v>75</v>
      </c>
      <c r="AB931" s="213">
        <v>85</v>
      </c>
      <c r="AC931" s="207" t="s">
        <v>3651</v>
      </c>
      <c r="AD931"/>
      <c r="AE931" s="206"/>
      <c r="AF931" s="94"/>
      <c r="AG931" s="94"/>
      <c r="AH931" s="94"/>
      <c r="AI931" s="94"/>
      <c r="AJ931" s="94"/>
      <c r="AK931" s="94"/>
      <c r="AL931" s="94"/>
      <c r="AM931" s="254"/>
      <c r="AN931" s="254"/>
      <c r="AO931" s="94"/>
      <c r="AP931" s="94"/>
      <c r="AQ931" s="94"/>
      <c r="AR931" s="94"/>
      <c r="AS931" s="207"/>
    </row>
    <row r="932" spans="13:45" ht="12.75">
      <c r="M932" s="104"/>
      <c r="O932" s="206" t="s">
        <v>1890</v>
      </c>
      <c r="P932" s="94" t="s">
        <v>1891</v>
      </c>
      <c r="Q932" s="180">
        <v>376774</v>
      </c>
      <c r="R932" s="258">
        <v>2500</v>
      </c>
      <c r="S932" s="259" t="s">
        <v>5004</v>
      </c>
      <c r="T932" s="213" t="s">
        <v>5000</v>
      </c>
      <c r="U932" s="213" t="s">
        <v>910</v>
      </c>
      <c r="V932" s="213" t="s">
        <v>3439</v>
      </c>
      <c r="W932" s="213" t="s">
        <v>3361</v>
      </c>
      <c r="X932" s="213" t="s">
        <v>852</v>
      </c>
      <c r="Y932" s="213" t="s">
        <v>4999</v>
      </c>
      <c r="Z932" s="213" t="s">
        <v>3125</v>
      </c>
      <c r="AA932" s="213">
        <v>15</v>
      </c>
      <c r="AB932" s="213">
        <v>130</v>
      </c>
      <c r="AC932" s="207" t="s">
        <v>4530</v>
      </c>
      <c r="AD932"/>
      <c r="AE932" s="206"/>
      <c r="AF932" s="94"/>
      <c r="AG932" s="94"/>
      <c r="AH932" s="94"/>
      <c r="AI932" s="94"/>
      <c r="AJ932" s="94"/>
      <c r="AK932" s="94"/>
      <c r="AL932" s="94"/>
      <c r="AM932" s="254"/>
      <c r="AN932" s="254"/>
      <c r="AO932" s="94"/>
      <c r="AP932" s="94"/>
      <c r="AQ932" s="94"/>
      <c r="AR932" s="94"/>
      <c r="AS932" s="207"/>
    </row>
    <row r="933" spans="13:45" ht="12.75">
      <c r="M933" s="104"/>
      <c r="O933" s="206" t="s">
        <v>1892</v>
      </c>
      <c r="P933" s="94" t="s">
        <v>1893</v>
      </c>
      <c r="Q933" s="180">
        <v>334063</v>
      </c>
      <c r="R933" s="258">
        <v>3200</v>
      </c>
      <c r="S933" s="259">
        <v>65</v>
      </c>
      <c r="T933" s="213" t="s">
        <v>5000</v>
      </c>
      <c r="U933" s="213" t="s">
        <v>910</v>
      </c>
      <c r="V933" s="213" t="s">
        <v>3439</v>
      </c>
      <c r="W933" s="213" t="s">
        <v>3361</v>
      </c>
      <c r="X933" s="213" t="s">
        <v>852</v>
      </c>
      <c r="Y933" s="213" t="s">
        <v>4999</v>
      </c>
      <c r="Z933" s="213" t="s">
        <v>3356</v>
      </c>
      <c r="AA933" s="213">
        <v>65</v>
      </c>
      <c r="AB933" s="213">
        <v>65</v>
      </c>
      <c r="AC933" s="207" t="s">
        <v>4530</v>
      </c>
      <c r="AD933"/>
      <c r="AE933" s="206"/>
      <c r="AF933" s="94"/>
      <c r="AG933" s="94"/>
      <c r="AH933" s="94"/>
      <c r="AI933" s="94"/>
      <c r="AJ933" s="94"/>
      <c r="AK933" s="94"/>
      <c r="AL933" s="94"/>
      <c r="AM933" s="254"/>
      <c r="AN933" s="254"/>
      <c r="AO933" s="94"/>
      <c r="AP933" s="94"/>
      <c r="AQ933" s="94"/>
      <c r="AR933" s="94"/>
      <c r="AS933" s="207"/>
    </row>
    <row r="934" spans="13:45" ht="12.75">
      <c r="M934" s="104"/>
      <c r="O934" s="206" t="s">
        <v>1894</v>
      </c>
      <c r="P934" s="94" t="s">
        <v>1895</v>
      </c>
      <c r="Q934" s="180">
        <v>406826</v>
      </c>
      <c r="R934" s="258">
        <v>3200</v>
      </c>
      <c r="S934" s="259">
        <v>75</v>
      </c>
      <c r="T934" s="213" t="s">
        <v>5000</v>
      </c>
      <c r="U934" s="213" t="s">
        <v>910</v>
      </c>
      <c r="V934" s="213" t="s">
        <v>3439</v>
      </c>
      <c r="W934" s="213" t="s">
        <v>3361</v>
      </c>
      <c r="X934" s="213" t="s">
        <v>852</v>
      </c>
      <c r="Y934" s="213" t="s">
        <v>4999</v>
      </c>
      <c r="Z934" s="213" t="s">
        <v>4549</v>
      </c>
      <c r="AA934" s="213">
        <v>75</v>
      </c>
      <c r="AB934" s="213">
        <v>75</v>
      </c>
      <c r="AC934" s="207" t="s">
        <v>4530</v>
      </c>
      <c r="AD934"/>
      <c r="AE934" s="206"/>
      <c r="AF934" s="94"/>
      <c r="AG934" s="94"/>
      <c r="AH934" s="94"/>
      <c r="AI934" s="94"/>
      <c r="AJ934" s="94"/>
      <c r="AK934" s="94"/>
      <c r="AL934" s="94"/>
      <c r="AM934" s="254"/>
      <c r="AN934" s="254"/>
      <c r="AO934" s="94"/>
      <c r="AP934" s="94"/>
      <c r="AQ934" s="94"/>
      <c r="AR934" s="94"/>
      <c r="AS934" s="207"/>
    </row>
    <row r="935" spans="13:45" ht="12.75">
      <c r="M935" s="104"/>
      <c r="O935" s="206" t="s">
        <v>1896</v>
      </c>
      <c r="P935" s="94" t="s">
        <v>1897</v>
      </c>
      <c r="Q935" s="180">
        <v>414951</v>
      </c>
      <c r="R935" s="258">
        <v>3200</v>
      </c>
      <c r="S935" s="259" t="s">
        <v>847</v>
      </c>
      <c r="T935" s="213" t="s">
        <v>5000</v>
      </c>
      <c r="U935" s="213" t="s">
        <v>910</v>
      </c>
      <c r="V935" s="213" t="s">
        <v>3439</v>
      </c>
      <c r="W935" s="213" t="s">
        <v>3361</v>
      </c>
      <c r="X935" s="213" t="s">
        <v>852</v>
      </c>
      <c r="Y935" s="213" t="s">
        <v>4999</v>
      </c>
      <c r="Z935" s="213" t="s">
        <v>3470</v>
      </c>
      <c r="AA935" s="213">
        <v>75</v>
      </c>
      <c r="AB935" s="213">
        <v>85</v>
      </c>
      <c r="AC935" s="207" t="s">
        <v>4530</v>
      </c>
      <c r="AD935"/>
      <c r="AE935" s="206"/>
      <c r="AF935" s="94"/>
      <c r="AG935" s="94"/>
      <c r="AH935" s="94"/>
      <c r="AI935" s="94"/>
      <c r="AJ935" s="94"/>
      <c r="AK935" s="94"/>
      <c r="AL935" s="94"/>
      <c r="AM935" s="254"/>
      <c r="AN935" s="254"/>
      <c r="AO935" s="94"/>
      <c r="AP935" s="94"/>
      <c r="AQ935" s="94"/>
      <c r="AR935" s="94"/>
      <c r="AS935" s="207"/>
    </row>
    <row r="936" spans="13:45" ht="12.75">
      <c r="M936" s="104"/>
      <c r="O936" s="206" t="s">
        <v>1898</v>
      </c>
      <c r="P936" s="94" t="s">
        <v>1899</v>
      </c>
      <c r="Q936" s="180">
        <v>255762</v>
      </c>
      <c r="R936" s="258">
        <v>1250</v>
      </c>
      <c r="S936" s="259">
        <v>75</v>
      </c>
      <c r="T936" s="213" t="s">
        <v>5000</v>
      </c>
      <c r="U936" s="213" t="s">
        <v>910</v>
      </c>
      <c r="V936" s="213" t="s">
        <v>3443</v>
      </c>
      <c r="W936" s="213" t="s">
        <v>3572</v>
      </c>
      <c r="X936" s="213" t="s">
        <v>852</v>
      </c>
      <c r="Y936" s="213" t="s">
        <v>4999</v>
      </c>
      <c r="Z936" s="213" t="s">
        <v>4549</v>
      </c>
      <c r="AA936" s="213">
        <v>75</v>
      </c>
      <c r="AB936" s="213">
        <v>75</v>
      </c>
      <c r="AC936" s="207" t="s">
        <v>4530</v>
      </c>
      <c r="AD936"/>
      <c r="AE936" s="206"/>
      <c r="AF936" s="94"/>
      <c r="AG936" s="94"/>
      <c r="AH936" s="94"/>
      <c r="AI936" s="94"/>
      <c r="AJ936" s="94"/>
      <c r="AK936" s="94"/>
      <c r="AL936" s="94"/>
      <c r="AM936" s="254"/>
      <c r="AN936" s="254"/>
      <c r="AO936" s="94"/>
      <c r="AP936" s="94"/>
      <c r="AQ936" s="94"/>
      <c r="AR936" s="94"/>
      <c r="AS936" s="207"/>
    </row>
    <row r="937" spans="13:45" ht="12.75">
      <c r="M937" s="104"/>
      <c r="O937" s="206" t="s">
        <v>1900</v>
      </c>
      <c r="P937" s="94" t="s">
        <v>1901</v>
      </c>
      <c r="Q937" s="180">
        <v>262614</v>
      </c>
      <c r="R937" s="258">
        <v>1250</v>
      </c>
      <c r="S937" s="259">
        <v>100</v>
      </c>
      <c r="T937" s="213" t="s">
        <v>5000</v>
      </c>
      <c r="U937" s="213" t="s">
        <v>910</v>
      </c>
      <c r="V937" s="213" t="s">
        <v>3443</v>
      </c>
      <c r="W937" s="213" t="s">
        <v>3572</v>
      </c>
      <c r="X937" s="213" t="s">
        <v>852</v>
      </c>
      <c r="Y937" s="213" t="s">
        <v>4999</v>
      </c>
      <c r="Z937" s="213" t="s">
        <v>3470</v>
      </c>
      <c r="AA937" s="213">
        <v>75</v>
      </c>
      <c r="AB937" s="213">
        <v>85</v>
      </c>
      <c r="AC937" s="207" t="s">
        <v>4530</v>
      </c>
      <c r="AD937"/>
      <c r="AE937" s="206"/>
      <c r="AF937" s="94"/>
      <c r="AG937" s="94"/>
      <c r="AH937" s="94"/>
      <c r="AI937" s="94"/>
      <c r="AJ937" s="94"/>
      <c r="AK937" s="94"/>
      <c r="AL937" s="94"/>
      <c r="AM937" s="254"/>
      <c r="AN937" s="254"/>
      <c r="AO937" s="94"/>
      <c r="AP937" s="94"/>
      <c r="AQ937" s="94"/>
      <c r="AR937" s="94"/>
      <c r="AS937" s="207"/>
    </row>
    <row r="938" spans="13:45" ht="12.75">
      <c r="M938" s="104"/>
      <c r="O938" s="206" t="s">
        <v>1902</v>
      </c>
      <c r="P938" s="94" t="s">
        <v>1903</v>
      </c>
      <c r="Q938" s="180">
        <v>288674</v>
      </c>
      <c r="R938" s="258">
        <v>1600</v>
      </c>
      <c r="S938" s="259">
        <v>75</v>
      </c>
      <c r="T938" s="213" t="s">
        <v>5000</v>
      </c>
      <c r="U938" s="213" t="s">
        <v>910</v>
      </c>
      <c r="V938" s="213" t="s">
        <v>3443</v>
      </c>
      <c r="W938" s="213" t="s">
        <v>3572</v>
      </c>
      <c r="X938" s="213" t="s">
        <v>852</v>
      </c>
      <c r="Y938" s="213" t="s">
        <v>4999</v>
      </c>
      <c r="Z938" s="213" t="s">
        <v>4549</v>
      </c>
      <c r="AA938" s="213">
        <v>75</v>
      </c>
      <c r="AB938" s="213">
        <v>75</v>
      </c>
      <c r="AC938" s="207" t="s">
        <v>4530</v>
      </c>
      <c r="AD938"/>
      <c r="AE938" s="206"/>
      <c r="AF938" s="94"/>
      <c r="AG938" s="94"/>
      <c r="AH938" s="94"/>
      <c r="AI938" s="94"/>
      <c r="AJ938" s="94"/>
      <c r="AK938" s="94"/>
      <c r="AL938" s="94"/>
      <c r="AM938" s="254"/>
      <c r="AN938" s="254"/>
      <c r="AO938" s="94"/>
      <c r="AP938" s="94"/>
      <c r="AQ938" s="94"/>
      <c r="AR938" s="94"/>
      <c r="AS938" s="207"/>
    </row>
    <row r="939" spans="13:45" ht="12.75">
      <c r="M939" s="104"/>
      <c r="O939" s="206" t="s">
        <v>1904</v>
      </c>
      <c r="P939" s="94" t="s">
        <v>1905</v>
      </c>
      <c r="Q939" s="180">
        <v>296042</v>
      </c>
      <c r="R939" s="258">
        <v>1600</v>
      </c>
      <c r="S939" s="259">
        <v>100</v>
      </c>
      <c r="T939" s="213" t="s">
        <v>5000</v>
      </c>
      <c r="U939" s="213" t="s">
        <v>910</v>
      </c>
      <c r="V939" s="213" t="s">
        <v>3443</v>
      </c>
      <c r="W939" s="213" t="s">
        <v>3572</v>
      </c>
      <c r="X939" s="213" t="s">
        <v>852</v>
      </c>
      <c r="Y939" s="213" t="s">
        <v>4999</v>
      </c>
      <c r="Z939" s="213" t="s">
        <v>3470</v>
      </c>
      <c r="AA939" s="213">
        <v>75</v>
      </c>
      <c r="AB939" s="213">
        <v>85</v>
      </c>
      <c r="AC939" s="207" t="s">
        <v>4530</v>
      </c>
      <c r="AD939"/>
      <c r="AE939" s="206"/>
      <c r="AF939" s="94"/>
      <c r="AG939" s="94"/>
      <c r="AH939" s="94"/>
      <c r="AI939" s="94"/>
      <c r="AJ939" s="94"/>
      <c r="AK939" s="94"/>
      <c r="AL939" s="94"/>
      <c r="AM939" s="254"/>
      <c r="AN939" s="254"/>
      <c r="AO939" s="94"/>
      <c r="AP939" s="94"/>
      <c r="AQ939" s="94"/>
      <c r="AR939" s="94"/>
      <c r="AS939" s="207"/>
    </row>
    <row r="940" spans="13:45" ht="12.75">
      <c r="M940" s="104"/>
      <c r="O940" s="206" t="s">
        <v>1906</v>
      </c>
      <c r="P940" s="94" t="s">
        <v>1907</v>
      </c>
      <c r="Q940" s="180">
        <v>320504</v>
      </c>
      <c r="R940" s="258">
        <v>2000</v>
      </c>
      <c r="S940" s="259">
        <v>75</v>
      </c>
      <c r="T940" s="213" t="s">
        <v>5000</v>
      </c>
      <c r="U940" s="213" t="s">
        <v>910</v>
      </c>
      <c r="V940" s="213" t="s">
        <v>3443</v>
      </c>
      <c r="W940" s="213" t="s">
        <v>3572</v>
      </c>
      <c r="X940" s="213" t="s">
        <v>852</v>
      </c>
      <c r="Y940" s="213" t="s">
        <v>4999</v>
      </c>
      <c r="Z940" s="213" t="s">
        <v>4549</v>
      </c>
      <c r="AA940" s="213">
        <v>75</v>
      </c>
      <c r="AB940" s="213">
        <v>75</v>
      </c>
      <c r="AC940" s="207" t="s">
        <v>4530</v>
      </c>
      <c r="AD940"/>
      <c r="AE940" s="206"/>
      <c r="AF940" s="94"/>
      <c r="AG940" s="94"/>
      <c r="AH940" s="94"/>
      <c r="AI940" s="94"/>
      <c r="AJ940" s="94"/>
      <c r="AK940" s="94"/>
      <c r="AL940" s="94"/>
      <c r="AM940" s="254"/>
      <c r="AN940" s="254"/>
      <c r="AO940" s="94"/>
      <c r="AP940" s="94"/>
      <c r="AQ940" s="94"/>
      <c r="AR940" s="94"/>
      <c r="AS940" s="207"/>
    </row>
    <row r="941" spans="13:45" ht="12.75">
      <c r="M941" s="104"/>
      <c r="O941" s="206" t="s">
        <v>1908</v>
      </c>
      <c r="P941" s="94" t="s">
        <v>1909</v>
      </c>
      <c r="Q941" s="180">
        <v>327671</v>
      </c>
      <c r="R941" s="258">
        <v>2000</v>
      </c>
      <c r="S941" s="259">
        <v>100</v>
      </c>
      <c r="T941" s="213" t="s">
        <v>5000</v>
      </c>
      <c r="U941" s="213" t="s">
        <v>910</v>
      </c>
      <c r="V941" s="213" t="s">
        <v>3443</v>
      </c>
      <c r="W941" s="213" t="s">
        <v>3572</v>
      </c>
      <c r="X941" s="213" t="s">
        <v>852</v>
      </c>
      <c r="Y941" s="213" t="s">
        <v>4999</v>
      </c>
      <c r="Z941" s="213" t="s">
        <v>3470</v>
      </c>
      <c r="AA941" s="213">
        <v>75</v>
      </c>
      <c r="AB941" s="213">
        <v>85</v>
      </c>
      <c r="AC941" s="207" t="s">
        <v>3651</v>
      </c>
      <c r="AD941"/>
      <c r="AE941" s="206"/>
      <c r="AF941" s="94"/>
      <c r="AG941" s="94"/>
      <c r="AH941" s="94"/>
      <c r="AI941" s="94"/>
      <c r="AJ941" s="94"/>
      <c r="AK941" s="94"/>
      <c r="AL941" s="94"/>
      <c r="AM941" s="254"/>
      <c r="AN941" s="254"/>
      <c r="AO941" s="94"/>
      <c r="AP941" s="94"/>
      <c r="AQ941" s="94"/>
      <c r="AR941" s="94"/>
      <c r="AS941" s="207"/>
    </row>
    <row r="942" spans="13:45" ht="12.75">
      <c r="M942" s="104"/>
      <c r="O942" s="206" t="s">
        <v>1910</v>
      </c>
      <c r="P942" s="94" t="s">
        <v>1911</v>
      </c>
      <c r="Q942" s="180">
        <v>354299</v>
      </c>
      <c r="R942" s="258">
        <v>2000</v>
      </c>
      <c r="S942" s="259" t="s">
        <v>5004</v>
      </c>
      <c r="T942" s="213" t="s">
        <v>5000</v>
      </c>
      <c r="U942" s="213" t="s">
        <v>910</v>
      </c>
      <c r="V942" s="213" t="s">
        <v>3443</v>
      </c>
      <c r="W942" s="213" t="s">
        <v>3572</v>
      </c>
      <c r="X942" s="213" t="s">
        <v>852</v>
      </c>
      <c r="Y942" s="213" t="s">
        <v>4999</v>
      </c>
      <c r="Z942" s="213" t="s">
        <v>3125</v>
      </c>
      <c r="AA942" s="213">
        <v>15</v>
      </c>
      <c r="AB942" s="213">
        <v>130</v>
      </c>
      <c r="AC942" s="207" t="s">
        <v>4530</v>
      </c>
      <c r="AD942"/>
      <c r="AE942" s="206"/>
      <c r="AF942" s="94"/>
      <c r="AG942" s="94"/>
      <c r="AH942" s="94"/>
      <c r="AI942" s="94"/>
      <c r="AJ942" s="94"/>
      <c r="AK942" s="94"/>
      <c r="AL942" s="94"/>
      <c r="AM942" s="254"/>
      <c r="AN942" s="254"/>
      <c r="AO942" s="94"/>
      <c r="AP942" s="94"/>
      <c r="AQ942" s="94"/>
      <c r="AR942" s="94"/>
      <c r="AS942" s="207"/>
    </row>
    <row r="943" spans="13:45" ht="12.75">
      <c r="M943" s="104"/>
      <c r="O943" s="206" t="s">
        <v>1912</v>
      </c>
      <c r="P943" s="94" t="s">
        <v>1913</v>
      </c>
      <c r="Q943" s="180">
        <v>343099</v>
      </c>
      <c r="R943" s="258">
        <v>2500</v>
      </c>
      <c r="S943" s="259">
        <v>65</v>
      </c>
      <c r="T943" s="213" t="s">
        <v>5000</v>
      </c>
      <c r="U943" s="213" t="s">
        <v>910</v>
      </c>
      <c r="V943" s="213" t="s">
        <v>3443</v>
      </c>
      <c r="W943" s="213" t="s">
        <v>3572</v>
      </c>
      <c r="X943" s="213" t="s">
        <v>852</v>
      </c>
      <c r="Y943" s="213" t="s">
        <v>4999</v>
      </c>
      <c r="Z943" s="213" t="s">
        <v>3356</v>
      </c>
      <c r="AA943" s="213">
        <v>65</v>
      </c>
      <c r="AB943" s="213">
        <v>65</v>
      </c>
      <c r="AC943" s="207" t="s">
        <v>4530</v>
      </c>
      <c r="AD943"/>
      <c r="AE943" s="206"/>
      <c r="AF943" s="94"/>
      <c r="AG943" s="94"/>
      <c r="AH943" s="94"/>
      <c r="AI943" s="94"/>
      <c r="AJ943" s="94"/>
      <c r="AK943" s="94"/>
      <c r="AL943" s="94"/>
      <c r="AM943" s="254"/>
      <c r="AN943" s="254"/>
      <c r="AO943" s="94"/>
      <c r="AP943" s="94"/>
      <c r="AQ943" s="94"/>
      <c r="AR943" s="94"/>
      <c r="AS943" s="207"/>
    </row>
    <row r="944" spans="13:45" ht="12.75">
      <c r="M944" s="104"/>
      <c r="O944" s="206" t="s">
        <v>1914</v>
      </c>
      <c r="P944" s="94" t="s">
        <v>1915</v>
      </c>
      <c r="Q944" s="180">
        <v>380449</v>
      </c>
      <c r="R944" s="258">
        <v>2500</v>
      </c>
      <c r="S944" s="259">
        <v>75</v>
      </c>
      <c r="T944" s="213" t="s">
        <v>5000</v>
      </c>
      <c r="U944" s="213" t="s">
        <v>910</v>
      </c>
      <c r="V944" s="213" t="s">
        <v>3443</v>
      </c>
      <c r="W944" s="213" t="s">
        <v>3572</v>
      </c>
      <c r="X944" s="213" t="s">
        <v>852</v>
      </c>
      <c r="Y944" s="213" t="s">
        <v>4999</v>
      </c>
      <c r="Z944" s="213" t="s">
        <v>4549</v>
      </c>
      <c r="AA944" s="213">
        <v>75</v>
      </c>
      <c r="AB944" s="213">
        <v>75</v>
      </c>
      <c r="AC944" s="207" t="s">
        <v>4530</v>
      </c>
      <c r="AD944"/>
      <c r="AE944" s="206"/>
      <c r="AF944" s="94"/>
      <c r="AG944" s="94"/>
      <c r="AH944" s="94"/>
      <c r="AI944" s="94"/>
      <c r="AJ944" s="94"/>
      <c r="AK944" s="94"/>
      <c r="AL944" s="94"/>
      <c r="AM944" s="254"/>
      <c r="AN944" s="254"/>
      <c r="AO944" s="94"/>
      <c r="AP944" s="94"/>
      <c r="AQ944" s="94"/>
      <c r="AR944" s="94"/>
      <c r="AS944" s="207"/>
    </row>
    <row r="945" spans="13:45" ht="12.75">
      <c r="M945" s="104"/>
      <c r="O945" s="206" t="s">
        <v>1916</v>
      </c>
      <c r="P945" s="94" t="s">
        <v>1917</v>
      </c>
      <c r="Q945" s="180">
        <v>387615</v>
      </c>
      <c r="R945" s="258">
        <v>2500</v>
      </c>
      <c r="S945" s="259">
        <v>100</v>
      </c>
      <c r="T945" s="213" t="s">
        <v>5000</v>
      </c>
      <c r="U945" s="213" t="s">
        <v>910</v>
      </c>
      <c r="V945" s="213" t="s">
        <v>3443</v>
      </c>
      <c r="W945" s="213" t="s">
        <v>3572</v>
      </c>
      <c r="X945" s="213" t="s">
        <v>852</v>
      </c>
      <c r="Y945" s="213" t="s">
        <v>4999</v>
      </c>
      <c r="Z945" s="213" t="s">
        <v>3470</v>
      </c>
      <c r="AA945" s="213">
        <v>75</v>
      </c>
      <c r="AB945" s="213">
        <v>85</v>
      </c>
      <c r="AC945" s="207" t="s">
        <v>3651</v>
      </c>
      <c r="AD945"/>
      <c r="AE945" s="206"/>
      <c r="AF945" s="94"/>
      <c r="AG945" s="94"/>
      <c r="AH945" s="94"/>
      <c r="AI945" s="94"/>
      <c r="AJ945" s="94"/>
      <c r="AK945" s="94"/>
      <c r="AL945" s="94"/>
      <c r="AM945" s="254"/>
      <c r="AN945" s="254"/>
      <c r="AO945" s="94"/>
      <c r="AP945" s="94"/>
      <c r="AQ945" s="94"/>
      <c r="AR945" s="94"/>
      <c r="AS945" s="207"/>
    </row>
    <row r="946" spans="13:45" ht="12.75">
      <c r="M946" s="104"/>
      <c r="O946" s="206" t="s">
        <v>1918</v>
      </c>
      <c r="P946" s="94" t="s">
        <v>1919</v>
      </c>
      <c r="Q946" s="180">
        <v>411371</v>
      </c>
      <c r="R946" s="258">
        <v>2500</v>
      </c>
      <c r="S946" s="259" t="s">
        <v>5004</v>
      </c>
      <c r="T946" s="213" t="s">
        <v>5000</v>
      </c>
      <c r="U946" s="213" t="s">
        <v>910</v>
      </c>
      <c r="V946" s="213" t="s">
        <v>3443</v>
      </c>
      <c r="W946" s="213" t="s">
        <v>3572</v>
      </c>
      <c r="X946" s="213" t="s">
        <v>852</v>
      </c>
      <c r="Y946" s="213" t="s">
        <v>4999</v>
      </c>
      <c r="Z946" s="213" t="s">
        <v>3125</v>
      </c>
      <c r="AA946" s="213">
        <v>15</v>
      </c>
      <c r="AB946" s="213">
        <v>130</v>
      </c>
      <c r="AC946" s="207" t="s">
        <v>4530</v>
      </c>
      <c r="AD946"/>
      <c r="AE946" s="206"/>
      <c r="AF946" s="94"/>
      <c r="AG946" s="94"/>
      <c r="AH946" s="94"/>
      <c r="AI946" s="94"/>
      <c r="AJ946" s="94"/>
      <c r="AK946" s="94"/>
      <c r="AL946" s="94"/>
      <c r="AM946" s="254"/>
      <c r="AN946" s="254"/>
      <c r="AO946" s="94"/>
      <c r="AP946" s="94"/>
      <c r="AQ946" s="94"/>
      <c r="AR946" s="94"/>
      <c r="AS946" s="207"/>
    </row>
    <row r="947" spans="13:45" ht="12.75">
      <c r="M947" s="104"/>
      <c r="O947" s="206" t="s">
        <v>1920</v>
      </c>
      <c r="P947" s="94" t="s">
        <v>1921</v>
      </c>
      <c r="Q947" s="180">
        <v>409595</v>
      </c>
      <c r="R947" s="258">
        <v>3200</v>
      </c>
      <c r="S947" s="259">
        <v>65</v>
      </c>
      <c r="T947" s="213" t="s">
        <v>5000</v>
      </c>
      <c r="U947" s="213" t="s">
        <v>910</v>
      </c>
      <c r="V947" s="213" t="s">
        <v>3443</v>
      </c>
      <c r="W947" s="213" t="s">
        <v>3572</v>
      </c>
      <c r="X947" s="213" t="s">
        <v>852</v>
      </c>
      <c r="Y947" s="213" t="s">
        <v>4999</v>
      </c>
      <c r="Z947" s="213" t="s">
        <v>3356</v>
      </c>
      <c r="AA947" s="213">
        <v>65</v>
      </c>
      <c r="AB947" s="213">
        <v>65</v>
      </c>
      <c r="AC947" s="207" t="s">
        <v>4530</v>
      </c>
      <c r="AD947"/>
      <c r="AE947" s="206"/>
      <c r="AF947" s="94"/>
      <c r="AG947" s="94"/>
      <c r="AH947" s="94"/>
      <c r="AI947" s="94"/>
      <c r="AJ947" s="94"/>
      <c r="AK947" s="94"/>
      <c r="AL947" s="94"/>
      <c r="AM947" s="254"/>
      <c r="AN947" s="254"/>
      <c r="AO947" s="94"/>
      <c r="AP947" s="94"/>
      <c r="AQ947" s="94"/>
      <c r="AR947" s="94"/>
      <c r="AS947" s="207"/>
    </row>
    <row r="948" spans="13:45" ht="12.75">
      <c r="M948" s="104"/>
      <c r="O948" s="206" t="s">
        <v>1922</v>
      </c>
      <c r="P948" s="94" t="s">
        <v>1923</v>
      </c>
      <c r="Q948" s="180">
        <v>411497</v>
      </c>
      <c r="R948" s="258">
        <v>3200</v>
      </c>
      <c r="S948" s="259">
        <v>75</v>
      </c>
      <c r="T948" s="213" t="s">
        <v>5000</v>
      </c>
      <c r="U948" s="213" t="s">
        <v>910</v>
      </c>
      <c r="V948" s="213" t="s">
        <v>3443</v>
      </c>
      <c r="W948" s="213" t="s">
        <v>3572</v>
      </c>
      <c r="X948" s="213" t="s">
        <v>852</v>
      </c>
      <c r="Y948" s="213" t="s">
        <v>4999</v>
      </c>
      <c r="Z948" s="213" t="s">
        <v>4549</v>
      </c>
      <c r="AA948" s="213">
        <v>75</v>
      </c>
      <c r="AB948" s="213">
        <v>75</v>
      </c>
      <c r="AC948" s="207" t="s">
        <v>4530</v>
      </c>
      <c r="AD948"/>
      <c r="AE948" s="206"/>
      <c r="AF948" s="94"/>
      <c r="AG948" s="94"/>
      <c r="AH948" s="94"/>
      <c r="AI948" s="94"/>
      <c r="AJ948" s="94"/>
      <c r="AK948" s="94"/>
      <c r="AL948" s="94"/>
      <c r="AM948" s="254"/>
      <c r="AN948" s="254"/>
      <c r="AO948" s="94"/>
      <c r="AP948" s="94"/>
      <c r="AQ948" s="94"/>
      <c r="AR948" s="94"/>
      <c r="AS948" s="207"/>
    </row>
    <row r="949" spans="13:45" ht="12.75">
      <c r="M949" s="104"/>
      <c r="O949" s="206" t="s">
        <v>1924</v>
      </c>
      <c r="P949" s="94" t="s">
        <v>1925</v>
      </c>
      <c r="Q949" s="180">
        <v>418235</v>
      </c>
      <c r="R949" s="258">
        <v>3200</v>
      </c>
      <c r="S949" s="259" t="s">
        <v>847</v>
      </c>
      <c r="T949" s="213" t="s">
        <v>5000</v>
      </c>
      <c r="U949" s="213" t="s">
        <v>910</v>
      </c>
      <c r="V949" s="213" t="s">
        <v>3443</v>
      </c>
      <c r="W949" s="213" t="s">
        <v>3572</v>
      </c>
      <c r="X949" s="213" t="s">
        <v>852</v>
      </c>
      <c r="Y949" s="213" t="s">
        <v>4999</v>
      </c>
      <c r="Z949" s="213" t="s">
        <v>3470</v>
      </c>
      <c r="AA949" s="213">
        <v>75</v>
      </c>
      <c r="AB949" s="213">
        <v>85</v>
      </c>
      <c r="AC949" s="207" t="s">
        <v>4530</v>
      </c>
      <c r="AD949"/>
      <c r="AE949" s="206"/>
      <c r="AF949" s="94"/>
      <c r="AG949" s="94"/>
      <c r="AH949" s="94"/>
      <c r="AI949" s="94"/>
      <c r="AJ949" s="94"/>
      <c r="AK949" s="94"/>
      <c r="AL949" s="94"/>
      <c r="AM949" s="254"/>
      <c r="AN949" s="254"/>
      <c r="AO949" s="94"/>
      <c r="AP949" s="94"/>
      <c r="AQ949" s="94"/>
      <c r="AR949" s="94"/>
      <c r="AS949" s="207"/>
    </row>
    <row r="950" spans="13:45" ht="12.75">
      <c r="M950" s="104"/>
      <c r="O950" s="206" t="s">
        <v>1926</v>
      </c>
      <c r="P950" s="94" t="s">
        <v>1927</v>
      </c>
      <c r="Q950" s="180">
        <v>379764</v>
      </c>
      <c r="R950" s="258">
        <v>3200</v>
      </c>
      <c r="S950" s="259" t="s">
        <v>848</v>
      </c>
      <c r="T950" s="213" t="s">
        <v>5010</v>
      </c>
      <c r="U950" s="213" t="s">
        <v>851</v>
      </c>
      <c r="V950" s="213" t="s">
        <v>3439</v>
      </c>
      <c r="W950" s="213" t="s">
        <v>3361</v>
      </c>
      <c r="X950" s="213" t="s">
        <v>852</v>
      </c>
      <c r="Y950" s="213" t="s">
        <v>4999</v>
      </c>
      <c r="Z950" s="213" t="s">
        <v>3719</v>
      </c>
      <c r="AA950" s="213">
        <v>100</v>
      </c>
      <c r="AB950" s="213">
        <v>100</v>
      </c>
      <c r="AC950" s="207" t="s">
        <v>4530</v>
      </c>
      <c r="AD950"/>
      <c r="AE950" s="206"/>
      <c r="AF950" s="94"/>
      <c r="AG950" s="94"/>
      <c r="AH950" s="94"/>
      <c r="AI950" s="94"/>
      <c r="AJ950" s="94"/>
      <c r="AK950" s="94"/>
      <c r="AL950" s="94"/>
      <c r="AM950" s="254"/>
      <c r="AN950" s="254"/>
      <c r="AO950" s="94"/>
      <c r="AP950" s="94"/>
      <c r="AQ950" s="94"/>
      <c r="AR950" s="94"/>
      <c r="AS950" s="207"/>
    </row>
    <row r="951" spans="13:45" ht="12.75">
      <c r="M951" s="104"/>
      <c r="O951" s="206" t="s">
        <v>1928</v>
      </c>
      <c r="P951" s="94" t="s">
        <v>1929</v>
      </c>
      <c r="Q951" s="180">
        <v>385419</v>
      </c>
      <c r="R951" s="258">
        <v>4000</v>
      </c>
      <c r="S951" s="259">
        <v>75</v>
      </c>
      <c r="T951" s="213" t="s">
        <v>5010</v>
      </c>
      <c r="U951" s="213" t="s">
        <v>851</v>
      </c>
      <c r="V951" s="213" t="s">
        <v>3439</v>
      </c>
      <c r="W951" s="213" t="s">
        <v>3361</v>
      </c>
      <c r="X951" s="213" t="s">
        <v>852</v>
      </c>
      <c r="Y951" s="213" t="s">
        <v>4999</v>
      </c>
      <c r="Z951" s="213" t="s">
        <v>2871</v>
      </c>
      <c r="AA951" s="213">
        <v>75</v>
      </c>
      <c r="AB951" s="213">
        <v>75</v>
      </c>
      <c r="AC951" s="207" t="s">
        <v>4530</v>
      </c>
      <c r="AD951"/>
      <c r="AE951" s="206"/>
      <c r="AF951" s="94"/>
      <c r="AG951" s="94"/>
      <c r="AH951" s="94"/>
      <c r="AI951" s="94"/>
      <c r="AJ951" s="94"/>
      <c r="AK951" s="94"/>
      <c r="AL951" s="94"/>
      <c r="AM951" s="254"/>
      <c r="AN951" s="254"/>
      <c r="AO951" s="94"/>
      <c r="AP951" s="94"/>
      <c r="AQ951" s="94"/>
      <c r="AR951" s="94"/>
      <c r="AS951" s="207"/>
    </row>
    <row r="952" spans="13:45" ht="12.75">
      <c r="M952" s="104"/>
      <c r="O952" s="206" t="s">
        <v>1930</v>
      </c>
      <c r="P952" s="94" t="s">
        <v>1931</v>
      </c>
      <c r="Q952" s="180">
        <v>424613</v>
      </c>
      <c r="R952" s="258">
        <v>4000</v>
      </c>
      <c r="S952" s="259">
        <v>100</v>
      </c>
      <c r="T952" s="213" t="s">
        <v>5010</v>
      </c>
      <c r="U952" s="213" t="s">
        <v>851</v>
      </c>
      <c r="V952" s="213" t="s">
        <v>3439</v>
      </c>
      <c r="W952" s="213" t="s">
        <v>3361</v>
      </c>
      <c r="X952" s="213" t="s">
        <v>852</v>
      </c>
      <c r="Y952" s="213" t="s">
        <v>4999</v>
      </c>
      <c r="Z952" s="213" t="s">
        <v>3719</v>
      </c>
      <c r="AA952" s="213">
        <v>100</v>
      </c>
      <c r="AB952" s="213">
        <v>100</v>
      </c>
      <c r="AC952" s="207" t="s">
        <v>4530</v>
      </c>
      <c r="AD952"/>
      <c r="AE952" s="206"/>
      <c r="AF952" s="94"/>
      <c r="AG952" s="94"/>
      <c r="AH952" s="94"/>
      <c r="AI952" s="94"/>
      <c r="AJ952" s="94"/>
      <c r="AK952" s="94"/>
      <c r="AL952" s="94"/>
      <c r="AM952" s="254"/>
      <c r="AN952" s="254"/>
      <c r="AO952" s="94"/>
      <c r="AP952" s="94"/>
      <c r="AQ952" s="94"/>
      <c r="AR952" s="94"/>
      <c r="AS952" s="207"/>
    </row>
    <row r="953" spans="13:45" ht="12.75">
      <c r="M953" s="104"/>
      <c r="O953" s="206" t="s">
        <v>1932</v>
      </c>
      <c r="P953" s="94" t="s">
        <v>1933</v>
      </c>
      <c r="Q953" s="180">
        <v>391733</v>
      </c>
      <c r="R953" s="258">
        <v>3200</v>
      </c>
      <c r="S953" s="259" t="s">
        <v>848</v>
      </c>
      <c r="T953" s="213" t="s">
        <v>5010</v>
      </c>
      <c r="U953" s="213" t="s">
        <v>851</v>
      </c>
      <c r="V953" s="213" t="s">
        <v>3443</v>
      </c>
      <c r="W953" s="213" t="s">
        <v>3572</v>
      </c>
      <c r="X953" s="213" t="s">
        <v>852</v>
      </c>
      <c r="Y953" s="213" t="s">
        <v>4999</v>
      </c>
      <c r="Z953" s="213" t="s">
        <v>3719</v>
      </c>
      <c r="AA953" s="213">
        <v>100</v>
      </c>
      <c r="AB953" s="213">
        <v>100</v>
      </c>
      <c r="AC953" s="207" t="s">
        <v>4530</v>
      </c>
      <c r="AD953"/>
      <c r="AE953" s="206"/>
      <c r="AF953" s="94"/>
      <c r="AG953" s="94"/>
      <c r="AH953" s="94"/>
      <c r="AI953" s="94"/>
      <c r="AJ953" s="94"/>
      <c r="AK953" s="94"/>
      <c r="AL953" s="94"/>
      <c r="AM953" s="254"/>
      <c r="AN953" s="254"/>
      <c r="AO953" s="94"/>
      <c r="AP953" s="94"/>
      <c r="AQ953" s="94"/>
      <c r="AR953" s="94"/>
      <c r="AS953" s="207"/>
    </row>
    <row r="954" spans="13:45" ht="12.75">
      <c r="M954" s="104"/>
      <c r="O954" s="206" t="s">
        <v>1934</v>
      </c>
      <c r="P954" s="94" t="s">
        <v>1935</v>
      </c>
      <c r="Q954" s="180">
        <v>407093</v>
      </c>
      <c r="R954" s="258">
        <v>4000</v>
      </c>
      <c r="S954" s="259">
        <v>75</v>
      </c>
      <c r="T954" s="213" t="s">
        <v>5010</v>
      </c>
      <c r="U954" s="213" t="s">
        <v>851</v>
      </c>
      <c r="V954" s="213" t="s">
        <v>3443</v>
      </c>
      <c r="W954" s="213" t="s">
        <v>3572</v>
      </c>
      <c r="X954" s="213" t="s">
        <v>852</v>
      </c>
      <c r="Y954" s="213" t="s">
        <v>4999</v>
      </c>
      <c r="Z954" s="213" t="s">
        <v>2871</v>
      </c>
      <c r="AA954" s="213">
        <v>75</v>
      </c>
      <c r="AB954" s="213">
        <v>75</v>
      </c>
      <c r="AC954" s="207" t="s">
        <v>4530</v>
      </c>
      <c r="AD954"/>
      <c r="AE954" s="206"/>
      <c r="AF954" s="94"/>
      <c r="AG954" s="94"/>
      <c r="AH954" s="94"/>
      <c r="AI954" s="94"/>
      <c r="AJ954" s="94"/>
      <c r="AK954" s="94"/>
      <c r="AL954" s="94"/>
      <c r="AM954" s="254"/>
      <c r="AN954" s="254"/>
      <c r="AO954" s="94"/>
      <c r="AP954" s="94"/>
      <c r="AQ954" s="94"/>
      <c r="AR954" s="94"/>
      <c r="AS954" s="207"/>
    </row>
    <row r="955" spans="13:45" ht="12.75">
      <c r="M955" s="104"/>
      <c r="O955" s="206" t="s">
        <v>1936</v>
      </c>
      <c r="P955" s="94" t="s">
        <v>1937</v>
      </c>
      <c r="Q955" s="180">
        <v>432600</v>
      </c>
      <c r="R955" s="258">
        <v>4000</v>
      </c>
      <c r="S955" s="259">
        <v>100</v>
      </c>
      <c r="T955" s="213" t="s">
        <v>5010</v>
      </c>
      <c r="U955" s="213" t="s">
        <v>851</v>
      </c>
      <c r="V955" s="213" t="s">
        <v>3443</v>
      </c>
      <c r="W955" s="213" t="s">
        <v>3572</v>
      </c>
      <c r="X955" s="213" t="s">
        <v>852</v>
      </c>
      <c r="Y955" s="213" t="s">
        <v>4999</v>
      </c>
      <c r="Z955" s="213" t="s">
        <v>3719</v>
      </c>
      <c r="AA955" s="213">
        <v>100</v>
      </c>
      <c r="AB955" s="213">
        <v>100</v>
      </c>
      <c r="AC955" s="207" t="s">
        <v>4530</v>
      </c>
      <c r="AD955"/>
      <c r="AE955" s="206"/>
      <c r="AF955" s="94"/>
      <c r="AG955" s="94"/>
      <c r="AH955" s="94"/>
      <c r="AI955" s="94"/>
      <c r="AJ955" s="94"/>
      <c r="AK955" s="94"/>
      <c r="AL955" s="94"/>
      <c r="AM955" s="254"/>
      <c r="AN955" s="254"/>
      <c r="AO955" s="94"/>
      <c r="AP955" s="94"/>
      <c r="AQ955" s="94"/>
      <c r="AR955" s="94"/>
      <c r="AS955" s="207"/>
    </row>
    <row r="956" spans="13:45" ht="12.75">
      <c r="M956" s="104"/>
      <c r="O956" s="206" t="s">
        <v>1938</v>
      </c>
      <c r="P956" s="94" t="s">
        <v>1939</v>
      </c>
      <c r="Q956" s="180">
        <v>442863</v>
      </c>
      <c r="R956" s="258">
        <v>3200</v>
      </c>
      <c r="S956" s="259" t="s">
        <v>848</v>
      </c>
      <c r="T956" s="213" t="s">
        <v>5010</v>
      </c>
      <c r="U956" s="213" t="s">
        <v>910</v>
      </c>
      <c r="V956" s="213" t="s">
        <v>3439</v>
      </c>
      <c r="W956" s="213" t="s">
        <v>3361</v>
      </c>
      <c r="X956" s="213" t="s">
        <v>852</v>
      </c>
      <c r="Y956" s="213" t="s">
        <v>4999</v>
      </c>
      <c r="Z956" s="213" t="s">
        <v>3719</v>
      </c>
      <c r="AA956" s="213">
        <v>100</v>
      </c>
      <c r="AB956" s="213">
        <v>100</v>
      </c>
      <c r="AC956" s="207" t="s">
        <v>4530</v>
      </c>
      <c r="AD956"/>
      <c r="AE956" s="206"/>
      <c r="AF956" s="94"/>
      <c r="AG956" s="94"/>
      <c r="AH956" s="94"/>
      <c r="AI956" s="94"/>
      <c r="AJ956" s="94"/>
      <c r="AK956" s="94"/>
      <c r="AL956" s="94"/>
      <c r="AM956" s="254"/>
      <c r="AN956" s="254"/>
      <c r="AO956" s="94"/>
      <c r="AP956" s="94"/>
      <c r="AQ956" s="94"/>
      <c r="AR956" s="94"/>
      <c r="AS956" s="207"/>
    </row>
    <row r="957" spans="13:45" ht="12.75">
      <c r="M957" s="104"/>
      <c r="O957" s="206" t="s">
        <v>1940</v>
      </c>
      <c r="P957" s="94" t="s">
        <v>1941</v>
      </c>
      <c r="Q957" s="180">
        <v>441818</v>
      </c>
      <c r="R957" s="258">
        <v>4000</v>
      </c>
      <c r="S957" s="259">
        <v>75</v>
      </c>
      <c r="T957" s="213" t="s">
        <v>5010</v>
      </c>
      <c r="U957" s="213" t="s">
        <v>910</v>
      </c>
      <c r="V957" s="213" t="s">
        <v>3439</v>
      </c>
      <c r="W957" s="213" t="s">
        <v>3361</v>
      </c>
      <c r="X957" s="213" t="s">
        <v>852</v>
      </c>
      <c r="Y957" s="213" t="s">
        <v>4999</v>
      </c>
      <c r="Z957" s="213" t="s">
        <v>2871</v>
      </c>
      <c r="AA957" s="213">
        <v>75</v>
      </c>
      <c r="AB957" s="213">
        <v>75</v>
      </c>
      <c r="AC957" s="207" t="s">
        <v>4530</v>
      </c>
      <c r="AD957"/>
      <c r="AE957" s="206"/>
      <c r="AF957" s="94"/>
      <c r="AG957" s="94"/>
      <c r="AH957" s="94"/>
      <c r="AI957" s="94"/>
      <c r="AJ957" s="94"/>
      <c r="AK957" s="94"/>
      <c r="AL957" s="94"/>
      <c r="AM957" s="254"/>
      <c r="AN957" s="254"/>
      <c r="AO957" s="94"/>
      <c r="AP957" s="94"/>
      <c r="AQ957" s="94"/>
      <c r="AR957" s="94"/>
      <c r="AS957" s="207"/>
    </row>
    <row r="958" spans="13:45" ht="12.75">
      <c r="M958" s="104"/>
      <c r="O958" s="206" t="s">
        <v>1942</v>
      </c>
      <c r="P958" s="94" t="s">
        <v>1943</v>
      </c>
      <c r="Q958" s="180">
        <v>478433</v>
      </c>
      <c r="R958" s="258">
        <v>4000</v>
      </c>
      <c r="S958" s="259">
        <v>100</v>
      </c>
      <c r="T958" s="213" t="s">
        <v>5010</v>
      </c>
      <c r="U958" s="213" t="s">
        <v>910</v>
      </c>
      <c r="V958" s="213" t="s">
        <v>3439</v>
      </c>
      <c r="W958" s="213" t="s">
        <v>3361</v>
      </c>
      <c r="X958" s="213" t="s">
        <v>852</v>
      </c>
      <c r="Y958" s="213" t="s">
        <v>4999</v>
      </c>
      <c r="Z958" s="213" t="s">
        <v>3719</v>
      </c>
      <c r="AA958" s="213">
        <v>100</v>
      </c>
      <c r="AB958" s="213">
        <v>100</v>
      </c>
      <c r="AC958" s="207" t="s">
        <v>4530</v>
      </c>
      <c r="AD958"/>
      <c r="AE958" s="206"/>
      <c r="AF958" s="94"/>
      <c r="AG958" s="94"/>
      <c r="AH958" s="94"/>
      <c r="AI958" s="94"/>
      <c r="AJ958" s="94"/>
      <c r="AK958" s="94"/>
      <c r="AL958" s="94"/>
      <c r="AM958" s="254"/>
      <c r="AN958" s="254"/>
      <c r="AO958" s="94"/>
      <c r="AP958" s="94"/>
      <c r="AQ958" s="94"/>
      <c r="AR958" s="94"/>
      <c r="AS958" s="207"/>
    </row>
    <row r="959" spans="13:45" ht="12.75">
      <c r="M959" s="104"/>
      <c r="O959" s="206" t="s">
        <v>1944</v>
      </c>
      <c r="P959" s="94" t="s">
        <v>1945</v>
      </c>
      <c r="Q959" s="180">
        <v>453535</v>
      </c>
      <c r="R959" s="258">
        <v>3200</v>
      </c>
      <c r="S959" s="259" t="s">
        <v>848</v>
      </c>
      <c r="T959" s="213" t="s">
        <v>5010</v>
      </c>
      <c r="U959" s="213" t="s">
        <v>910</v>
      </c>
      <c r="V959" s="213" t="s">
        <v>3443</v>
      </c>
      <c r="W959" s="213" t="s">
        <v>3572</v>
      </c>
      <c r="X959" s="213" t="s">
        <v>852</v>
      </c>
      <c r="Y959" s="213" t="s">
        <v>4999</v>
      </c>
      <c r="Z959" s="213" t="s">
        <v>3719</v>
      </c>
      <c r="AA959" s="213">
        <v>100</v>
      </c>
      <c r="AB959" s="213">
        <v>100</v>
      </c>
      <c r="AC959" s="207" t="s">
        <v>4530</v>
      </c>
      <c r="AD959"/>
      <c r="AE959" s="206"/>
      <c r="AF959" s="94"/>
      <c r="AG959" s="94"/>
      <c r="AH959" s="94"/>
      <c r="AI959" s="94"/>
      <c r="AJ959" s="94"/>
      <c r="AK959" s="94"/>
      <c r="AL959" s="94"/>
      <c r="AM959" s="254"/>
      <c r="AN959" s="254"/>
      <c r="AO959" s="94"/>
      <c r="AP959" s="94"/>
      <c r="AQ959" s="94"/>
      <c r="AR959" s="94"/>
      <c r="AS959" s="207"/>
    </row>
    <row r="960" spans="13:45" ht="12.75">
      <c r="M960" s="104"/>
      <c r="O960" s="206" t="s">
        <v>1946</v>
      </c>
      <c r="P960" s="94" t="s">
        <v>1947</v>
      </c>
      <c r="Q960" s="180">
        <v>503842</v>
      </c>
      <c r="R960" s="258">
        <v>4000</v>
      </c>
      <c r="S960" s="259">
        <v>75</v>
      </c>
      <c r="T960" s="213" t="s">
        <v>5010</v>
      </c>
      <c r="U960" s="213" t="s">
        <v>910</v>
      </c>
      <c r="V960" s="213" t="s">
        <v>3443</v>
      </c>
      <c r="W960" s="213" t="s">
        <v>3572</v>
      </c>
      <c r="X960" s="213" t="s">
        <v>852</v>
      </c>
      <c r="Y960" s="213" t="s">
        <v>4999</v>
      </c>
      <c r="Z960" s="213" t="s">
        <v>2871</v>
      </c>
      <c r="AA960" s="213">
        <v>75</v>
      </c>
      <c r="AB960" s="213">
        <v>75</v>
      </c>
      <c r="AC960" s="207" t="s">
        <v>4530</v>
      </c>
      <c r="AD960"/>
      <c r="AE960" s="206"/>
      <c r="AF960" s="94"/>
      <c r="AG960" s="94"/>
      <c r="AH960" s="94"/>
      <c r="AI960" s="94"/>
      <c r="AJ960" s="94"/>
      <c r="AK960" s="94"/>
      <c r="AL960" s="94"/>
      <c r="AM960" s="254"/>
      <c r="AN960" s="254"/>
      <c r="AO960" s="94"/>
      <c r="AP960" s="94"/>
      <c r="AQ960" s="94"/>
      <c r="AR960" s="94"/>
      <c r="AS960" s="207"/>
    </row>
    <row r="961" spans="13:45" ht="12.75">
      <c r="M961" s="104"/>
      <c r="O961" s="206" t="s">
        <v>1948</v>
      </c>
      <c r="P961" s="94" t="s">
        <v>1949</v>
      </c>
      <c r="Q961" s="180">
        <v>539210</v>
      </c>
      <c r="R961" s="258">
        <v>4000</v>
      </c>
      <c r="S961" s="259">
        <v>100</v>
      </c>
      <c r="T961" s="213" t="s">
        <v>5010</v>
      </c>
      <c r="U961" s="213" t="s">
        <v>910</v>
      </c>
      <c r="V961" s="213" t="s">
        <v>3443</v>
      </c>
      <c r="W961" s="213" t="s">
        <v>3572</v>
      </c>
      <c r="X961" s="213" t="s">
        <v>852</v>
      </c>
      <c r="Y961" s="213" t="s">
        <v>4999</v>
      </c>
      <c r="Z961" s="213" t="s">
        <v>3719</v>
      </c>
      <c r="AA961" s="213">
        <v>100</v>
      </c>
      <c r="AB961" s="213">
        <v>100</v>
      </c>
      <c r="AC961" s="207" t="s">
        <v>4530</v>
      </c>
      <c r="AD961"/>
      <c r="AE961" s="206"/>
      <c r="AF961" s="94"/>
      <c r="AG961" s="94"/>
      <c r="AH961" s="94"/>
      <c r="AI961" s="94"/>
      <c r="AJ961" s="94"/>
      <c r="AK961" s="94"/>
      <c r="AL961" s="94"/>
      <c r="AM961" s="254"/>
      <c r="AN961" s="254"/>
      <c r="AO961" s="94"/>
      <c r="AP961" s="94"/>
      <c r="AQ961" s="94"/>
      <c r="AR961" s="94"/>
      <c r="AS961" s="207"/>
    </row>
    <row r="962" spans="13:45" ht="12.75">
      <c r="M962" s="104"/>
      <c r="O962" s="206" t="s">
        <v>1950</v>
      </c>
      <c r="P962" s="94" t="s">
        <v>1951</v>
      </c>
      <c r="Q962" s="180">
        <v>648735</v>
      </c>
      <c r="R962" s="258">
        <v>3200</v>
      </c>
      <c r="S962" s="259">
        <v>150</v>
      </c>
      <c r="T962" s="213" t="s">
        <v>5012</v>
      </c>
      <c r="U962" s="213" t="s">
        <v>851</v>
      </c>
      <c r="V962" s="213" t="s">
        <v>3439</v>
      </c>
      <c r="W962" s="213" t="s">
        <v>3361</v>
      </c>
      <c r="X962" s="213" t="s">
        <v>852</v>
      </c>
      <c r="Y962" s="213" t="s">
        <v>4999</v>
      </c>
      <c r="Z962" s="213" t="s">
        <v>1406</v>
      </c>
      <c r="AA962" s="213">
        <v>100</v>
      </c>
      <c r="AB962" s="213">
        <v>125</v>
      </c>
      <c r="AC962" s="207" t="s">
        <v>4530</v>
      </c>
      <c r="AD962"/>
      <c r="AE962" s="206"/>
      <c r="AF962" s="94"/>
      <c r="AG962" s="94"/>
      <c r="AH962" s="94"/>
      <c r="AI962" s="94"/>
      <c r="AJ962" s="94"/>
      <c r="AK962" s="94"/>
      <c r="AL962" s="94"/>
      <c r="AM962" s="254"/>
      <c r="AN962" s="254"/>
      <c r="AO962" s="94"/>
      <c r="AP962" s="94"/>
      <c r="AQ962" s="94"/>
      <c r="AR962" s="94"/>
      <c r="AS962" s="207"/>
    </row>
    <row r="963" spans="13:45" ht="12.75">
      <c r="M963" s="104"/>
      <c r="O963" s="206" t="s">
        <v>1952</v>
      </c>
      <c r="P963" s="94" t="s">
        <v>1953</v>
      </c>
      <c r="Q963" s="180">
        <v>676192</v>
      </c>
      <c r="R963" s="258">
        <v>4000</v>
      </c>
      <c r="S963" s="259">
        <v>150</v>
      </c>
      <c r="T963" s="213" t="s">
        <v>5012</v>
      </c>
      <c r="U963" s="213" t="s">
        <v>851</v>
      </c>
      <c r="V963" s="213" t="s">
        <v>3439</v>
      </c>
      <c r="W963" s="213" t="s">
        <v>3361</v>
      </c>
      <c r="X963" s="213" t="s">
        <v>852</v>
      </c>
      <c r="Y963" s="213" t="s">
        <v>4999</v>
      </c>
      <c r="Z963" s="213" t="s">
        <v>1406</v>
      </c>
      <c r="AA963" s="213">
        <v>100</v>
      </c>
      <c r="AB963" s="213">
        <v>125</v>
      </c>
      <c r="AC963" s="207" t="s">
        <v>4530</v>
      </c>
      <c r="AD963"/>
      <c r="AE963" s="206"/>
      <c r="AF963" s="94"/>
      <c r="AG963" s="94"/>
      <c r="AH963" s="94"/>
      <c r="AI963" s="94"/>
      <c r="AJ963" s="94"/>
      <c r="AK963" s="94"/>
      <c r="AL963" s="94"/>
      <c r="AM963" s="254"/>
      <c r="AN963" s="254"/>
      <c r="AO963" s="94"/>
      <c r="AP963" s="94"/>
      <c r="AQ963" s="94"/>
      <c r="AR963" s="94"/>
      <c r="AS963" s="207"/>
    </row>
    <row r="964" spans="13:45" ht="12.75">
      <c r="M964" s="104"/>
      <c r="O964" s="206" t="s">
        <v>1954</v>
      </c>
      <c r="P964" s="94" t="s">
        <v>1955</v>
      </c>
      <c r="Q964" s="180">
        <v>605248</v>
      </c>
      <c r="R964" s="258">
        <v>5000</v>
      </c>
      <c r="S964" s="259">
        <v>100</v>
      </c>
      <c r="T964" s="213" t="s">
        <v>5012</v>
      </c>
      <c r="U964" s="213" t="s">
        <v>851</v>
      </c>
      <c r="V964" s="213" t="s">
        <v>3439</v>
      </c>
      <c r="W964" s="213" t="s">
        <v>3361</v>
      </c>
      <c r="X964" s="213" t="s">
        <v>852</v>
      </c>
      <c r="Y964" s="213" t="s">
        <v>4999</v>
      </c>
      <c r="Z964" s="213" t="s">
        <v>3531</v>
      </c>
      <c r="AA964" s="213">
        <v>100</v>
      </c>
      <c r="AB964" s="213">
        <v>100</v>
      </c>
      <c r="AC964" s="207" t="s">
        <v>4530</v>
      </c>
      <c r="AD964"/>
      <c r="AE964" s="206"/>
      <c r="AF964" s="94"/>
      <c r="AG964" s="94"/>
      <c r="AH964" s="94"/>
      <c r="AI964" s="94"/>
      <c r="AJ964" s="94"/>
      <c r="AK964" s="94"/>
      <c r="AL964" s="94"/>
      <c r="AM964" s="254"/>
      <c r="AN964" s="254"/>
      <c r="AO964" s="94"/>
      <c r="AP964" s="94"/>
      <c r="AQ964" s="94"/>
      <c r="AR964" s="94"/>
      <c r="AS964" s="207"/>
    </row>
    <row r="965" spans="13:45" ht="12.75">
      <c r="M965" s="104"/>
      <c r="O965" s="206" t="s">
        <v>1956</v>
      </c>
      <c r="P965" s="94" t="s">
        <v>1957</v>
      </c>
      <c r="Q965" s="180">
        <v>705096</v>
      </c>
      <c r="R965" s="258">
        <v>5000</v>
      </c>
      <c r="S965" s="259">
        <v>150</v>
      </c>
      <c r="T965" s="213" t="s">
        <v>5012</v>
      </c>
      <c r="U965" s="213" t="s">
        <v>851</v>
      </c>
      <c r="V965" s="213" t="s">
        <v>3439</v>
      </c>
      <c r="W965" s="213" t="s">
        <v>3361</v>
      </c>
      <c r="X965" s="213" t="s">
        <v>852</v>
      </c>
      <c r="Y965" s="213" t="s">
        <v>4999</v>
      </c>
      <c r="Z965" s="213" t="s">
        <v>1406</v>
      </c>
      <c r="AA965" s="213">
        <v>100</v>
      </c>
      <c r="AB965" s="213">
        <v>125</v>
      </c>
      <c r="AC965" s="207" t="s">
        <v>4530</v>
      </c>
      <c r="AD965"/>
      <c r="AE965" s="206"/>
      <c r="AF965" s="94"/>
      <c r="AG965" s="94"/>
      <c r="AH965" s="94"/>
      <c r="AI965" s="94"/>
      <c r="AJ965" s="94"/>
      <c r="AK965" s="94"/>
      <c r="AL965" s="94"/>
      <c r="AM965" s="254"/>
      <c r="AN965" s="254"/>
      <c r="AO965" s="94"/>
      <c r="AP965" s="94"/>
      <c r="AQ965" s="94"/>
      <c r="AR965" s="94"/>
      <c r="AS965" s="207"/>
    </row>
    <row r="966" spans="13:45" ht="12.75">
      <c r="M966" s="104"/>
      <c r="O966" s="206" t="s">
        <v>1958</v>
      </c>
      <c r="P966" s="94" t="s">
        <v>1959</v>
      </c>
      <c r="Q966" s="180">
        <v>759987</v>
      </c>
      <c r="R966" s="258">
        <v>6300</v>
      </c>
      <c r="S966" s="259">
        <v>100</v>
      </c>
      <c r="T966" s="213" t="s">
        <v>5012</v>
      </c>
      <c r="U966" s="213" t="s">
        <v>851</v>
      </c>
      <c r="V966" s="213" t="s">
        <v>3439</v>
      </c>
      <c r="W966" s="213" t="s">
        <v>3361</v>
      </c>
      <c r="X966" s="213" t="s">
        <v>852</v>
      </c>
      <c r="Y966" s="213" t="s">
        <v>4999</v>
      </c>
      <c r="Z966" s="213" t="s">
        <v>3531</v>
      </c>
      <c r="AA966" s="213">
        <v>100</v>
      </c>
      <c r="AB966" s="213">
        <v>100</v>
      </c>
      <c r="AC966" s="207" t="s">
        <v>4530</v>
      </c>
      <c r="AD966"/>
      <c r="AE966" s="206"/>
      <c r="AF966" s="94"/>
      <c r="AG966" s="94"/>
      <c r="AH966" s="94"/>
      <c r="AI966" s="94"/>
      <c r="AJ966" s="94"/>
      <c r="AK966" s="94"/>
      <c r="AL966" s="94"/>
      <c r="AM966" s="254"/>
      <c r="AN966" s="254"/>
      <c r="AO966" s="94"/>
      <c r="AP966" s="94"/>
      <c r="AQ966" s="94"/>
      <c r="AR966" s="94"/>
      <c r="AS966" s="207"/>
    </row>
    <row r="967" spans="13:45" ht="12.75">
      <c r="M967" s="104"/>
      <c r="O967" s="206" t="s">
        <v>1960</v>
      </c>
      <c r="P967" s="94" t="s">
        <v>1961</v>
      </c>
      <c r="Q967" s="180">
        <v>925596</v>
      </c>
      <c r="R967" s="258">
        <v>6300</v>
      </c>
      <c r="S967" s="259">
        <v>150</v>
      </c>
      <c r="T967" s="213" t="s">
        <v>5012</v>
      </c>
      <c r="U967" s="213" t="s">
        <v>851</v>
      </c>
      <c r="V967" s="213" t="s">
        <v>3439</v>
      </c>
      <c r="W967" s="213" t="s">
        <v>3361</v>
      </c>
      <c r="X967" s="213" t="s">
        <v>852</v>
      </c>
      <c r="Y967" s="213" t="s">
        <v>4999</v>
      </c>
      <c r="Z967" s="213" t="s">
        <v>1406</v>
      </c>
      <c r="AA967" s="213">
        <v>100</v>
      </c>
      <c r="AB967" s="213">
        <v>125</v>
      </c>
      <c r="AC967" s="207" t="s">
        <v>4530</v>
      </c>
      <c r="AD967"/>
      <c r="AE967" s="206"/>
      <c r="AF967" s="94"/>
      <c r="AG967" s="94"/>
      <c r="AH967" s="94"/>
      <c r="AI967" s="94"/>
      <c r="AJ967" s="94"/>
      <c r="AK967" s="94"/>
      <c r="AL967" s="94"/>
      <c r="AM967" s="254"/>
      <c r="AN967" s="254"/>
      <c r="AO967" s="94"/>
      <c r="AP967" s="94"/>
      <c r="AQ967" s="94"/>
      <c r="AR967" s="94"/>
      <c r="AS967" s="207"/>
    </row>
    <row r="968" spans="13:45" ht="12.75">
      <c r="M968" s="104"/>
      <c r="O968" s="206" t="s">
        <v>1962</v>
      </c>
      <c r="P968" s="94" t="s">
        <v>1963</v>
      </c>
      <c r="Q968" s="180">
        <v>639839</v>
      </c>
      <c r="R968" s="258">
        <v>3200</v>
      </c>
      <c r="S968" s="259">
        <v>150</v>
      </c>
      <c r="T968" s="213" t="s">
        <v>5012</v>
      </c>
      <c r="U968" s="213" t="s">
        <v>851</v>
      </c>
      <c r="V968" s="213" t="s">
        <v>3443</v>
      </c>
      <c r="W968" s="213" t="s">
        <v>3572</v>
      </c>
      <c r="X968" s="213" t="s">
        <v>852</v>
      </c>
      <c r="Y968" s="213" t="s">
        <v>4999</v>
      </c>
      <c r="Z968" s="213" t="s">
        <v>1406</v>
      </c>
      <c r="AA968" s="213">
        <v>100</v>
      </c>
      <c r="AB968" s="213">
        <v>125</v>
      </c>
      <c r="AC968" s="207" t="s">
        <v>4530</v>
      </c>
      <c r="AD968"/>
      <c r="AE968" s="206"/>
      <c r="AF968" s="94"/>
      <c r="AG968" s="94"/>
      <c r="AH968" s="94"/>
      <c r="AI968" s="94"/>
      <c r="AJ968" s="94"/>
      <c r="AK968" s="94"/>
      <c r="AL968" s="94"/>
      <c r="AM968" s="254"/>
      <c r="AN968" s="254"/>
      <c r="AO968" s="94"/>
      <c r="AP968" s="94"/>
      <c r="AQ968" s="94"/>
      <c r="AR968" s="94"/>
      <c r="AS968" s="207"/>
    </row>
    <row r="969" spans="13:45" ht="12.75">
      <c r="M969" s="104"/>
      <c r="O969" s="206" t="s">
        <v>1964</v>
      </c>
      <c r="P969" s="94" t="s">
        <v>1965</v>
      </c>
      <c r="Q969" s="180">
        <v>666829</v>
      </c>
      <c r="R969" s="258">
        <v>4000</v>
      </c>
      <c r="S969" s="259">
        <v>150</v>
      </c>
      <c r="T969" s="213" t="s">
        <v>5012</v>
      </c>
      <c r="U969" s="213" t="s">
        <v>851</v>
      </c>
      <c r="V969" s="213" t="s">
        <v>3443</v>
      </c>
      <c r="W969" s="213" t="s">
        <v>3572</v>
      </c>
      <c r="X969" s="213" t="s">
        <v>852</v>
      </c>
      <c r="Y969" s="213" t="s">
        <v>4999</v>
      </c>
      <c r="Z969" s="213" t="s">
        <v>1406</v>
      </c>
      <c r="AA969" s="213">
        <v>100</v>
      </c>
      <c r="AB969" s="213">
        <v>125</v>
      </c>
      <c r="AC969" s="207" t="s">
        <v>4530</v>
      </c>
      <c r="AD969"/>
      <c r="AE969" s="206"/>
      <c r="AF969" s="94"/>
      <c r="AG969" s="94"/>
      <c r="AH969" s="94"/>
      <c r="AI969" s="94"/>
      <c r="AJ969" s="94"/>
      <c r="AK969" s="94"/>
      <c r="AL969" s="94"/>
      <c r="AM969" s="254"/>
      <c r="AN969" s="254"/>
      <c r="AO969" s="94"/>
      <c r="AP969" s="94"/>
      <c r="AQ969" s="94"/>
      <c r="AR969" s="94"/>
      <c r="AS969" s="207"/>
    </row>
    <row r="970" spans="13:45" ht="12.75">
      <c r="M970" s="104"/>
      <c r="O970" s="206" t="s">
        <v>1966</v>
      </c>
      <c r="P970" s="94" t="s">
        <v>1967</v>
      </c>
      <c r="Q970" s="180">
        <v>579900</v>
      </c>
      <c r="R970" s="258">
        <v>5000</v>
      </c>
      <c r="S970" s="259">
        <v>100</v>
      </c>
      <c r="T970" s="213" t="s">
        <v>5012</v>
      </c>
      <c r="U970" s="213" t="s">
        <v>851</v>
      </c>
      <c r="V970" s="213" t="s">
        <v>3443</v>
      </c>
      <c r="W970" s="213" t="s">
        <v>3572</v>
      </c>
      <c r="X970" s="213" t="s">
        <v>852</v>
      </c>
      <c r="Y970" s="213" t="s">
        <v>4999</v>
      </c>
      <c r="Z970" s="213" t="s">
        <v>3531</v>
      </c>
      <c r="AA970" s="213">
        <v>100</v>
      </c>
      <c r="AB970" s="213">
        <v>100</v>
      </c>
      <c r="AC970" s="207" t="s">
        <v>4530</v>
      </c>
      <c r="AD970"/>
      <c r="AE970" s="206"/>
      <c r="AF970" s="94"/>
      <c r="AG970" s="94"/>
      <c r="AH970" s="94"/>
      <c r="AI970" s="94"/>
      <c r="AJ970" s="94"/>
      <c r="AK970" s="94"/>
      <c r="AL970" s="94"/>
      <c r="AM970" s="254"/>
      <c r="AN970" s="254"/>
      <c r="AO970" s="94"/>
      <c r="AP970" s="94"/>
      <c r="AQ970" s="94"/>
      <c r="AR970" s="94"/>
      <c r="AS970" s="207"/>
    </row>
    <row r="971" spans="13:45" ht="12.75">
      <c r="M971" s="104"/>
      <c r="O971" s="206" t="s">
        <v>1968</v>
      </c>
      <c r="P971" s="94" t="s">
        <v>1969</v>
      </c>
      <c r="Q971" s="180">
        <v>695238</v>
      </c>
      <c r="R971" s="258">
        <v>5000</v>
      </c>
      <c r="S971" s="259">
        <v>150</v>
      </c>
      <c r="T971" s="213" t="s">
        <v>5012</v>
      </c>
      <c r="U971" s="213" t="s">
        <v>851</v>
      </c>
      <c r="V971" s="213" t="s">
        <v>3443</v>
      </c>
      <c r="W971" s="213" t="s">
        <v>3572</v>
      </c>
      <c r="X971" s="213" t="s">
        <v>852</v>
      </c>
      <c r="Y971" s="213" t="s">
        <v>4999</v>
      </c>
      <c r="Z971" s="213" t="s">
        <v>1406</v>
      </c>
      <c r="AA971" s="213">
        <v>100</v>
      </c>
      <c r="AB971" s="213">
        <v>125</v>
      </c>
      <c r="AC971" s="207" t="s">
        <v>4530</v>
      </c>
      <c r="AD971"/>
      <c r="AE971" s="206"/>
      <c r="AF971" s="94"/>
      <c r="AG971" s="94"/>
      <c r="AH971" s="94"/>
      <c r="AI971" s="94"/>
      <c r="AJ971" s="94"/>
      <c r="AK971" s="94"/>
      <c r="AL971" s="94"/>
      <c r="AM971" s="254"/>
      <c r="AN971" s="254"/>
      <c r="AO971" s="94"/>
      <c r="AP971" s="94"/>
      <c r="AQ971" s="94"/>
      <c r="AR971" s="94"/>
      <c r="AS971" s="207"/>
    </row>
    <row r="972" spans="13:45" ht="12.75">
      <c r="M972" s="104"/>
      <c r="O972" s="206" t="s">
        <v>1970</v>
      </c>
      <c r="P972" s="94" t="s">
        <v>1971</v>
      </c>
      <c r="Q972" s="180">
        <v>813982</v>
      </c>
      <c r="R972" s="258">
        <v>6300</v>
      </c>
      <c r="S972" s="259">
        <v>100</v>
      </c>
      <c r="T972" s="213" t="s">
        <v>5012</v>
      </c>
      <c r="U972" s="213" t="s">
        <v>851</v>
      </c>
      <c r="V972" s="213" t="s">
        <v>3443</v>
      </c>
      <c r="W972" s="213" t="s">
        <v>3572</v>
      </c>
      <c r="X972" s="213" t="s">
        <v>852</v>
      </c>
      <c r="Y972" s="213" t="s">
        <v>4999</v>
      </c>
      <c r="Z972" s="213" t="s">
        <v>3531</v>
      </c>
      <c r="AA972" s="213">
        <v>100</v>
      </c>
      <c r="AB972" s="213">
        <v>100</v>
      </c>
      <c r="AC972" s="207" t="s">
        <v>4530</v>
      </c>
      <c r="AD972"/>
      <c r="AE972" s="206"/>
      <c r="AF972" s="94"/>
      <c r="AG972" s="94"/>
      <c r="AH972" s="94"/>
      <c r="AI972" s="94"/>
      <c r="AJ972" s="94"/>
      <c r="AK972" s="94"/>
      <c r="AL972" s="94"/>
      <c r="AM972" s="254"/>
      <c r="AN972" s="254"/>
      <c r="AO972" s="94"/>
      <c r="AP972" s="94"/>
      <c r="AQ972" s="94"/>
      <c r="AR972" s="94"/>
      <c r="AS972" s="207"/>
    </row>
    <row r="973" spans="13:45" ht="12.75">
      <c r="M973" s="104"/>
      <c r="O973" s="206" t="s">
        <v>1972</v>
      </c>
      <c r="P973" s="94" t="s">
        <v>1973</v>
      </c>
      <c r="Q973" s="180">
        <v>980460</v>
      </c>
      <c r="R973" s="258">
        <v>6300</v>
      </c>
      <c r="S973" s="259">
        <v>150</v>
      </c>
      <c r="T973" s="213" t="s">
        <v>5012</v>
      </c>
      <c r="U973" s="213" t="s">
        <v>851</v>
      </c>
      <c r="V973" s="213" t="s">
        <v>3443</v>
      </c>
      <c r="W973" s="213" t="s">
        <v>3572</v>
      </c>
      <c r="X973" s="213" t="s">
        <v>852</v>
      </c>
      <c r="Y973" s="213" t="s">
        <v>4999</v>
      </c>
      <c r="Z973" s="213" t="s">
        <v>1406</v>
      </c>
      <c r="AA973" s="213">
        <v>100</v>
      </c>
      <c r="AB973" s="213">
        <v>125</v>
      </c>
      <c r="AC973" s="207" t="s">
        <v>4530</v>
      </c>
      <c r="AD973"/>
      <c r="AE973" s="206"/>
      <c r="AF973" s="94"/>
      <c r="AG973" s="94"/>
      <c r="AH973" s="94"/>
      <c r="AI973" s="94"/>
      <c r="AJ973" s="94"/>
      <c r="AK973" s="94"/>
      <c r="AL973" s="94"/>
      <c r="AM973" s="254"/>
      <c r="AN973" s="254"/>
      <c r="AO973" s="94"/>
      <c r="AP973" s="94"/>
      <c r="AQ973" s="94"/>
      <c r="AR973" s="94"/>
      <c r="AS973" s="207"/>
    </row>
    <row r="974" spans="13:45" ht="12.75">
      <c r="M974" s="104"/>
      <c r="O974" s="206" t="s">
        <v>1974</v>
      </c>
      <c r="P974" s="94" t="s">
        <v>1975</v>
      </c>
      <c r="Q974" s="180">
        <v>755328</v>
      </c>
      <c r="R974" s="258">
        <v>3200</v>
      </c>
      <c r="S974" s="259">
        <v>150</v>
      </c>
      <c r="T974" s="213" t="s">
        <v>5012</v>
      </c>
      <c r="U974" s="213" t="s">
        <v>910</v>
      </c>
      <c r="V974" s="213" t="s">
        <v>3439</v>
      </c>
      <c r="W974" s="213" t="s">
        <v>3361</v>
      </c>
      <c r="X974" s="213" t="s">
        <v>852</v>
      </c>
      <c r="Y974" s="213" t="s">
        <v>4999</v>
      </c>
      <c r="Z974" s="213" t="s">
        <v>1406</v>
      </c>
      <c r="AA974" s="213">
        <v>100</v>
      </c>
      <c r="AB974" s="213">
        <v>125</v>
      </c>
      <c r="AC974" s="207" t="s">
        <v>4530</v>
      </c>
      <c r="AD974"/>
      <c r="AE974" s="206"/>
      <c r="AF974" s="94"/>
      <c r="AG974" s="94"/>
      <c r="AH974" s="94"/>
      <c r="AI974" s="94"/>
      <c r="AJ974" s="94"/>
      <c r="AK974" s="94"/>
      <c r="AL974" s="94"/>
      <c r="AM974" s="254"/>
      <c r="AN974" s="254"/>
      <c r="AO974" s="94"/>
      <c r="AP974" s="94"/>
      <c r="AQ974" s="94"/>
      <c r="AR974" s="94"/>
      <c r="AS974" s="207"/>
    </row>
    <row r="975" spans="13:45" ht="12.75">
      <c r="M975" s="104"/>
      <c r="O975" s="206" t="s">
        <v>1976</v>
      </c>
      <c r="P975" s="94" t="s">
        <v>1977</v>
      </c>
      <c r="Q975" s="180">
        <v>788397</v>
      </c>
      <c r="R975" s="258">
        <v>4000</v>
      </c>
      <c r="S975" s="259">
        <v>150</v>
      </c>
      <c r="T975" s="213" t="s">
        <v>5012</v>
      </c>
      <c r="U975" s="213" t="s">
        <v>910</v>
      </c>
      <c r="V975" s="213" t="s">
        <v>3439</v>
      </c>
      <c r="W975" s="213" t="s">
        <v>3361</v>
      </c>
      <c r="X975" s="213" t="s">
        <v>852</v>
      </c>
      <c r="Y975" s="213" t="s">
        <v>4999</v>
      </c>
      <c r="Z975" s="213" t="s">
        <v>1406</v>
      </c>
      <c r="AA975" s="213">
        <v>100</v>
      </c>
      <c r="AB975" s="213">
        <v>125</v>
      </c>
      <c r="AC975" s="207" t="s">
        <v>4530</v>
      </c>
      <c r="AD975"/>
      <c r="AE975" s="206"/>
      <c r="AF975" s="94"/>
      <c r="AG975" s="94"/>
      <c r="AH975" s="94"/>
      <c r="AI975" s="94"/>
      <c r="AJ975" s="94"/>
      <c r="AK975" s="94"/>
      <c r="AL975" s="94"/>
      <c r="AM975" s="254"/>
      <c r="AN975" s="254"/>
      <c r="AO975" s="94"/>
      <c r="AP975" s="94"/>
      <c r="AQ975" s="94"/>
      <c r="AR975" s="94"/>
      <c r="AS975" s="207"/>
    </row>
    <row r="976" spans="13:45" ht="12.75">
      <c r="M976" s="104"/>
      <c r="O976" s="206" t="s">
        <v>1978</v>
      </c>
      <c r="P976" s="94" t="s">
        <v>1979</v>
      </c>
      <c r="Q976" s="180">
        <v>764132</v>
      </c>
      <c r="R976" s="258">
        <v>5000</v>
      </c>
      <c r="S976" s="259">
        <v>100</v>
      </c>
      <c r="T976" s="213" t="s">
        <v>5012</v>
      </c>
      <c r="U976" s="213" t="s">
        <v>910</v>
      </c>
      <c r="V976" s="213" t="s">
        <v>3439</v>
      </c>
      <c r="W976" s="213" t="s">
        <v>3361</v>
      </c>
      <c r="X976" s="213" t="s">
        <v>852</v>
      </c>
      <c r="Y976" s="213" t="s">
        <v>4999</v>
      </c>
      <c r="Z976" s="213" t="s">
        <v>3531</v>
      </c>
      <c r="AA976" s="213">
        <v>100</v>
      </c>
      <c r="AB976" s="213">
        <v>100</v>
      </c>
      <c r="AC976" s="207" t="s">
        <v>4530</v>
      </c>
      <c r="AD976"/>
      <c r="AE976" s="206"/>
      <c r="AF976" s="94"/>
      <c r="AG976" s="94"/>
      <c r="AH976" s="94"/>
      <c r="AI976" s="94"/>
      <c r="AJ976" s="94"/>
      <c r="AK976" s="94"/>
      <c r="AL976" s="94"/>
      <c r="AM976" s="254"/>
      <c r="AN976" s="254"/>
      <c r="AO976" s="94"/>
      <c r="AP976" s="94"/>
      <c r="AQ976" s="94"/>
      <c r="AR976" s="94"/>
      <c r="AS976" s="207"/>
    </row>
    <row r="977" spans="13:45" ht="12.75">
      <c r="M977" s="104"/>
      <c r="O977" s="206" t="s">
        <v>1980</v>
      </c>
      <c r="P977" s="94" t="s">
        <v>1981</v>
      </c>
      <c r="Q977" s="180">
        <v>823206</v>
      </c>
      <c r="R977" s="258">
        <v>5000</v>
      </c>
      <c r="S977" s="259">
        <v>150</v>
      </c>
      <c r="T977" s="213" t="s">
        <v>5012</v>
      </c>
      <c r="U977" s="213" t="s">
        <v>910</v>
      </c>
      <c r="V977" s="213" t="s">
        <v>3439</v>
      </c>
      <c r="W977" s="213" t="s">
        <v>3361</v>
      </c>
      <c r="X977" s="213" t="s">
        <v>852</v>
      </c>
      <c r="Y977" s="213" t="s">
        <v>4999</v>
      </c>
      <c r="Z977" s="213" t="s">
        <v>1406</v>
      </c>
      <c r="AA977" s="213">
        <v>100</v>
      </c>
      <c r="AB977" s="213">
        <v>125</v>
      </c>
      <c r="AC977" s="207" t="s">
        <v>4530</v>
      </c>
      <c r="AD977"/>
      <c r="AE977" s="206"/>
      <c r="AF977" s="94"/>
      <c r="AG977" s="94"/>
      <c r="AH977" s="94"/>
      <c r="AI977" s="94"/>
      <c r="AJ977" s="94"/>
      <c r="AK977" s="94"/>
      <c r="AL977" s="94"/>
      <c r="AM977" s="254"/>
      <c r="AN977" s="254"/>
      <c r="AO977" s="94"/>
      <c r="AP977" s="94"/>
      <c r="AQ977" s="94"/>
      <c r="AR977" s="94"/>
      <c r="AS977" s="207"/>
    </row>
    <row r="978" spans="13:45" ht="12.75">
      <c r="M978" s="104"/>
      <c r="O978" s="206" t="s">
        <v>1982</v>
      </c>
      <c r="P978" s="94" t="s">
        <v>1983</v>
      </c>
      <c r="Q978" s="180">
        <v>916957</v>
      </c>
      <c r="R978" s="258">
        <v>6300</v>
      </c>
      <c r="S978" s="259">
        <v>100</v>
      </c>
      <c r="T978" s="213" t="s">
        <v>5012</v>
      </c>
      <c r="U978" s="213" t="s">
        <v>910</v>
      </c>
      <c r="V978" s="213" t="s">
        <v>3439</v>
      </c>
      <c r="W978" s="213" t="s">
        <v>3361</v>
      </c>
      <c r="X978" s="213" t="s">
        <v>852</v>
      </c>
      <c r="Y978" s="213" t="s">
        <v>4999</v>
      </c>
      <c r="Z978" s="213" t="s">
        <v>3531</v>
      </c>
      <c r="AA978" s="213">
        <v>100</v>
      </c>
      <c r="AB978" s="213">
        <v>100</v>
      </c>
      <c r="AC978" s="207" t="s">
        <v>4530</v>
      </c>
      <c r="AD978"/>
      <c r="AE978" s="206"/>
      <c r="AF978" s="94"/>
      <c r="AG978" s="94"/>
      <c r="AH978" s="94"/>
      <c r="AI978" s="94"/>
      <c r="AJ978" s="94"/>
      <c r="AK978" s="94"/>
      <c r="AL978" s="94"/>
      <c r="AM978" s="254"/>
      <c r="AN978" s="254"/>
      <c r="AO978" s="94"/>
      <c r="AP978" s="94"/>
      <c r="AQ978" s="94"/>
      <c r="AR978" s="94"/>
      <c r="AS978" s="207"/>
    </row>
    <row r="979" spans="13:45" ht="12.75">
      <c r="M979" s="104"/>
      <c r="O979" s="206" t="s">
        <v>1984</v>
      </c>
      <c r="P979" s="94" t="s">
        <v>1985</v>
      </c>
      <c r="Q979" s="180">
        <v>1134222</v>
      </c>
      <c r="R979" s="258">
        <v>6300</v>
      </c>
      <c r="S979" s="259">
        <v>150</v>
      </c>
      <c r="T979" s="213" t="s">
        <v>5012</v>
      </c>
      <c r="U979" s="213" t="s">
        <v>910</v>
      </c>
      <c r="V979" s="213" t="s">
        <v>3439</v>
      </c>
      <c r="W979" s="213" t="s">
        <v>3361</v>
      </c>
      <c r="X979" s="213" t="s">
        <v>852</v>
      </c>
      <c r="Y979" s="213" t="s">
        <v>4999</v>
      </c>
      <c r="Z979" s="213" t="s">
        <v>1406</v>
      </c>
      <c r="AA979" s="213">
        <v>100</v>
      </c>
      <c r="AB979" s="213">
        <v>125</v>
      </c>
      <c r="AC979" s="207" t="s">
        <v>4530</v>
      </c>
      <c r="AD979"/>
      <c r="AE979" s="206"/>
      <c r="AF979" s="94"/>
      <c r="AG979" s="94"/>
      <c r="AH979" s="94"/>
      <c r="AI979" s="94"/>
      <c r="AJ979" s="94"/>
      <c r="AK979" s="94"/>
      <c r="AL979" s="94"/>
      <c r="AM979" s="254"/>
      <c r="AN979" s="254"/>
      <c r="AO979" s="94"/>
      <c r="AP979" s="94"/>
      <c r="AQ979" s="94"/>
      <c r="AR979" s="94"/>
      <c r="AS979" s="207"/>
    </row>
    <row r="980" spans="13:45" ht="12.75">
      <c r="M980" s="104"/>
      <c r="O980" s="206" t="s">
        <v>1986</v>
      </c>
      <c r="P980" s="94" t="s">
        <v>1987</v>
      </c>
      <c r="Q980" s="180">
        <v>864615</v>
      </c>
      <c r="R980" s="258">
        <v>3200</v>
      </c>
      <c r="S980" s="259">
        <v>150</v>
      </c>
      <c r="T980" s="213" t="s">
        <v>5012</v>
      </c>
      <c r="U980" s="213" t="s">
        <v>910</v>
      </c>
      <c r="V980" s="213" t="s">
        <v>3443</v>
      </c>
      <c r="W980" s="213" t="s">
        <v>3572</v>
      </c>
      <c r="X980" s="213" t="s">
        <v>852</v>
      </c>
      <c r="Y980" s="213" t="s">
        <v>4999</v>
      </c>
      <c r="Z980" s="213" t="s">
        <v>1406</v>
      </c>
      <c r="AA980" s="213">
        <v>100</v>
      </c>
      <c r="AB980" s="213">
        <v>125</v>
      </c>
      <c r="AC980" s="207" t="s">
        <v>4530</v>
      </c>
      <c r="AD980"/>
      <c r="AE980" s="206"/>
      <c r="AF980" s="94"/>
      <c r="AG980" s="94"/>
      <c r="AH980" s="94"/>
      <c r="AI980" s="94"/>
      <c r="AJ980" s="94"/>
      <c r="AK980" s="94"/>
      <c r="AL980" s="94"/>
      <c r="AM980" s="254"/>
      <c r="AN980" s="254"/>
      <c r="AO980" s="94"/>
      <c r="AP980" s="94"/>
      <c r="AQ980" s="94"/>
      <c r="AR980" s="94"/>
      <c r="AS980" s="207"/>
    </row>
    <row r="981" spans="13:45" ht="12.75">
      <c r="M981" s="104"/>
      <c r="O981" s="206" t="s">
        <v>1988</v>
      </c>
      <c r="P981" s="94" t="s">
        <v>1989</v>
      </c>
      <c r="Q981" s="180">
        <v>903435</v>
      </c>
      <c r="R981" s="258">
        <v>4000</v>
      </c>
      <c r="S981" s="259">
        <v>150</v>
      </c>
      <c r="T981" s="213" t="s">
        <v>5012</v>
      </c>
      <c r="U981" s="213" t="s">
        <v>910</v>
      </c>
      <c r="V981" s="213" t="s">
        <v>3443</v>
      </c>
      <c r="W981" s="213" t="s">
        <v>3572</v>
      </c>
      <c r="X981" s="213" t="s">
        <v>852</v>
      </c>
      <c r="Y981" s="213" t="s">
        <v>4999</v>
      </c>
      <c r="Z981" s="213" t="s">
        <v>1406</v>
      </c>
      <c r="AA981" s="213">
        <v>100</v>
      </c>
      <c r="AB981" s="213">
        <v>125</v>
      </c>
      <c r="AC981" s="207" t="s">
        <v>4530</v>
      </c>
      <c r="AD981"/>
      <c r="AE981" s="206"/>
      <c r="AF981" s="94"/>
      <c r="AG981" s="94"/>
      <c r="AH981" s="94"/>
      <c r="AI981" s="94"/>
      <c r="AJ981" s="94"/>
      <c r="AK981" s="94"/>
      <c r="AL981" s="94"/>
      <c r="AM981" s="254"/>
      <c r="AN981" s="254"/>
      <c r="AO981" s="94"/>
      <c r="AP981" s="94"/>
      <c r="AQ981" s="94"/>
      <c r="AR981" s="94"/>
      <c r="AS981" s="207"/>
    </row>
    <row r="982" spans="13:45" ht="12.75">
      <c r="M982" s="104"/>
      <c r="O982" s="206" t="s">
        <v>1990</v>
      </c>
      <c r="P982" s="94" t="s">
        <v>1991</v>
      </c>
      <c r="Q982" s="180">
        <v>812470</v>
      </c>
      <c r="R982" s="258">
        <v>5000</v>
      </c>
      <c r="S982" s="259">
        <v>100</v>
      </c>
      <c r="T982" s="213" t="s">
        <v>5012</v>
      </c>
      <c r="U982" s="213" t="s">
        <v>910</v>
      </c>
      <c r="V982" s="213" t="s">
        <v>3443</v>
      </c>
      <c r="W982" s="213" t="s">
        <v>3572</v>
      </c>
      <c r="X982" s="213" t="s">
        <v>852</v>
      </c>
      <c r="Y982" s="213" t="s">
        <v>4999</v>
      </c>
      <c r="Z982" s="213" t="s">
        <v>3531</v>
      </c>
      <c r="AA982" s="213">
        <v>100</v>
      </c>
      <c r="AB982" s="213">
        <v>100</v>
      </c>
      <c r="AC982" s="207" t="s">
        <v>4530</v>
      </c>
      <c r="AD982"/>
      <c r="AE982" s="206"/>
      <c r="AF982" s="94"/>
      <c r="AG982" s="94"/>
      <c r="AH982" s="94"/>
      <c r="AI982" s="94"/>
      <c r="AJ982" s="94"/>
      <c r="AK982" s="94"/>
      <c r="AL982" s="94"/>
      <c r="AM982" s="254"/>
      <c r="AN982" s="254"/>
      <c r="AO982" s="94"/>
      <c r="AP982" s="94"/>
      <c r="AQ982" s="94"/>
      <c r="AR982" s="94"/>
      <c r="AS982" s="207"/>
    </row>
    <row r="983" spans="13:45" ht="12.75">
      <c r="M983" s="104"/>
      <c r="O983" s="206" t="s">
        <v>1992</v>
      </c>
      <c r="P983" s="94" t="s">
        <v>1993</v>
      </c>
      <c r="Q983" s="180">
        <v>944299</v>
      </c>
      <c r="R983" s="258">
        <v>5000</v>
      </c>
      <c r="S983" s="259">
        <v>150</v>
      </c>
      <c r="T983" s="213" t="s">
        <v>5012</v>
      </c>
      <c r="U983" s="213" t="s">
        <v>910</v>
      </c>
      <c r="V983" s="213" t="s">
        <v>3443</v>
      </c>
      <c r="W983" s="213" t="s">
        <v>3572</v>
      </c>
      <c r="X983" s="213" t="s">
        <v>852</v>
      </c>
      <c r="Y983" s="213" t="s">
        <v>4999</v>
      </c>
      <c r="Z983" s="213" t="s">
        <v>1406</v>
      </c>
      <c r="AA983" s="213">
        <v>100</v>
      </c>
      <c r="AB983" s="213">
        <v>125</v>
      </c>
      <c r="AC983" s="207" t="s">
        <v>4530</v>
      </c>
      <c r="AD983"/>
      <c r="AE983" s="206"/>
      <c r="AF983" s="94"/>
      <c r="AG983" s="94"/>
      <c r="AH983" s="94"/>
      <c r="AI983" s="94"/>
      <c r="AJ983" s="94"/>
      <c r="AK983" s="94"/>
      <c r="AL983" s="94"/>
      <c r="AM983" s="254"/>
      <c r="AN983" s="254"/>
      <c r="AO983" s="94"/>
      <c r="AP983" s="94"/>
      <c r="AQ983" s="94"/>
      <c r="AR983" s="94"/>
      <c r="AS983" s="207"/>
    </row>
    <row r="984" spans="13:45" ht="12.75">
      <c r="M984" s="104"/>
      <c r="O984" s="206" t="s">
        <v>1994</v>
      </c>
      <c r="P984" s="94" t="s">
        <v>1995</v>
      </c>
      <c r="Q984" s="180">
        <v>977400</v>
      </c>
      <c r="R984" s="258">
        <v>6300</v>
      </c>
      <c r="S984" s="259">
        <v>100</v>
      </c>
      <c r="T984" s="213" t="s">
        <v>5012</v>
      </c>
      <c r="U984" s="213" t="s">
        <v>910</v>
      </c>
      <c r="V984" s="213" t="s">
        <v>3443</v>
      </c>
      <c r="W984" s="213" t="s">
        <v>3572</v>
      </c>
      <c r="X984" s="213" t="s">
        <v>852</v>
      </c>
      <c r="Y984" s="213" t="s">
        <v>4999</v>
      </c>
      <c r="Z984" s="213" t="s">
        <v>3531</v>
      </c>
      <c r="AA984" s="213">
        <v>100</v>
      </c>
      <c r="AB984" s="213">
        <v>100</v>
      </c>
      <c r="AC984" s="207" t="s">
        <v>4530</v>
      </c>
      <c r="AD984"/>
      <c r="AE984" s="206"/>
      <c r="AF984" s="94"/>
      <c r="AG984" s="94"/>
      <c r="AH984" s="94"/>
      <c r="AI984" s="94"/>
      <c r="AJ984" s="94"/>
      <c r="AK984" s="94"/>
      <c r="AL984" s="94"/>
      <c r="AM984" s="254"/>
      <c r="AN984" s="254"/>
      <c r="AO984" s="94"/>
      <c r="AP984" s="94"/>
      <c r="AQ984" s="94"/>
      <c r="AR984" s="94"/>
      <c r="AS984" s="207"/>
    </row>
    <row r="985" spans="13:45" ht="12.75">
      <c r="M985" s="104"/>
      <c r="O985" s="206" t="s">
        <v>1996</v>
      </c>
      <c r="P985" s="94" t="s">
        <v>1997</v>
      </c>
      <c r="Q985" s="180">
        <v>1197422</v>
      </c>
      <c r="R985" s="258">
        <v>6300</v>
      </c>
      <c r="S985" s="259">
        <v>150</v>
      </c>
      <c r="T985" s="213" t="s">
        <v>5012</v>
      </c>
      <c r="U985" s="213" t="s">
        <v>910</v>
      </c>
      <c r="V985" s="213" t="s">
        <v>3443</v>
      </c>
      <c r="W985" s="213" t="s">
        <v>3572</v>
      </c>
      <c r="X985" s="213" t="s">
        <v>852</v>
      </c>
      <c r="Y985" s="213" t="s">
        <v>4999</v>
      </c>
      <c r="Z985" s="213" t="s">
        <v>1406</v>
      </c>
      <c r="AA985" s="213">
        <v>100</v>
      </c>
      <c r="AB985" s="213">
        <v>125</v>
      </c>
      <c r="AC985" s="207" t="s">
        <v>4530</v>
      </c>
      <c r="AD985"/>
      <c r="AE985" s="206"/>
      <c r="AF985" s="94"/>
      <c r="AG985" s="94"/>
      <c r="AH985" s="94"/>
      <c r="AI985" s="94"/>
      <c r="AJ985" s="94"/>
      <c r="AK985" s="94"/>
      <c r="AL985" s="94"/>
      <c r="AM985" s="254"/>
      <c r="AN985" s="254"/>
      <c r="AO985" s="94"/>
      <c r="AP985" s="94"/>
      <c r="AQ985" s="94"/>
      <c r="AR985" s="94"/>
      <c r="AS985" s="207"/>
    </row>
    <row r="986" spans="13:45" ht="12.75">
      <c r="M986" s="104"/>
      <c r="O986" s="206" t="s">
        <v>1998</v>
      </c>
      <c r="P986" s="94" t="s">
        <v>1999</v>
      </c>
      <c r="Q986" s="180">
        <v>49224</v>
      </c>
      <c r="R986" s="258">
        <v>800</v>
      </c>
      <c r="S986" s="259">
        <v>50</v>
      </c>
      <c r="T986" s="213" t="s">
        <v>4994</v>
      </c>
      <c r="U986" s="213">
        <v>3</v>
      </c>
      <c r="V986" s="213" t="s">
        <v>3439</v>
      </c>
      <c r="W986" s="213" t="s">
        <v>3361</v>
      </c>
      <c r="X986" s="213" t="s">
        <v>3490</v>
      </c>
      <c r="Y986" s="213" t="s">
        <v>1540</v>
      </c>
      <c r="Z986" s="213" t="s">
        <v>2000</v>
      </c>
      <c r="AA986" s="213">
        <v>50</v>
      </c>
      <c r="AB986" s="213">
        <v>105</v>
      </c>
      <c r="AC986" s="207" t="s">
        <v>1540</v>
      </c>
      <c r="AD986"/>
      <c r="AE986" s="206"/>
      <c r="AF986" s="94"/>
      <c r="AG986" s="94"/>
      <c r="AH986" s="94"/>
      <c r="AI986" s="94"/>
      <c r="AJ986" s="94"/>
      <c r="AK986" s="94"/>
      <c r="AL986" s="94"/>
      <c r="AM986" s="254"/>
      <c r="AN986" s="254"/>
      <c r="AO986" s="94"/>
      <c r="AP986" s="94"/>
      <c r="AQ986" s="94"/>
      <c r="AR986" s="94"/>
      <c r="AS986" s="207"/>
    </row>
    <row r="987" spans="13:45" ht="12.75">
      <c r="M987" s="104"/>
      <c r="O987" s="206" t="s">
        <v>2001</v>
      </c>
      <c r="P987" s="94" t="s">
        <v>2002</v>
      </c>
      <c r="Q987" s="180">
        <v>62701</v>
      </c>
      <c r="R987" s="258">
        <v>1250</v>
      </c>
      <c r="S987" s="259">
        <v>50</v>
      </c>
      <c r="T987" s="213" t="s">
        <v>4994</v>
      </c>
      <c r="U987" s="213">
        <v>3</v>
      </c>
      <c r="V987" s="213" t="s">
        <v>3439</v>
      </c>
      <c r="W987" s="213" t="s">
        <v>3361</v>
      </c>
      <c r="X987" s="213" t="s">
        <v>3490</v>
      </c>
      <c r="Y987" s="213" t="s">
        <v>1540</v>
      </c>
      <c r="Z987" s="213" t="s">
        <v>2000</v>
      </c>
      <c r="AA987" s="213">
        <v>50</v>
      </c>
      <c r="AB987" s="213">
        <v>105</v>
      </c>
      <c r="AC987" s="207" t="s">
        <v>1540</v>
      </c>
      <c r="AD987"/>
      <c r="AE987" s="206"/>
      <c r="AF987" s="94"/>
      <c r="AG987" s="94"/>
      <c r="AH987" s="94"/>
      <c r="AI987" s="94"/>
      <c r="AJ987" s="94"/>
      <c r="AK987" s="94"/>
      <c r="AL987" s="94"/>
      <c r="AM987" s="254"/>
      <c r="AN987" s="254"/>
      <c r="AO987" s="94"/>
      <c r="AP987" s="94"/>
      <c r="AQ987" s="94"/>
      <c r="AR987" s="94"/>
      <c r="AS987" s="207"/>
    </row>
    <row r="988" spans="13:45" ht="12.75">
      <c r="M988" s="104"/>
      <c r="O988" s="206" t="s">
        <v>2003</v>
      </c>
      <c r="P988" s="94" t="s">
        <v>2004</v>
      </c>
      <c r="Q988" s="180">
        <v>57961</v>
      </c>
      <c r="R988" s="258">
        <v>800</v>
      </c>
      <c r="S988" s="259">
        <v>50</v>
      </c>
      <c r="T988" s="213" t="s">
        <v>4994</v>
      </c>
      <c r="U988" s="213">
        <v>3</v>
      </c>
      <c r="V988" s="213" t="s">
        <v>3443</v>
      </c>
      <c r="W988" s="213" t="s">
        <v>3572</v>
      </c>
      <c r="X988" s="213" t="s">
        <v>3490</v>
      </c>
      <c r="Y988" s="213" t="s">
        <v>1540</v>
      </c>
      <c r="Z988" s="213" t="s">
        <v>2000</v>
      </c>
      <c r="AA988" s="213">
        <v>50</v>
      </c>
      <c r="AB988" s="213">
        <v>105</v>
      </c>
      <c r="AC988" s="207" t="s">
        <v>1540</v>
      </c>
      <c r="AD988"/>
      <c r="AE988" s="206"/>
      <c r="AF988" s="94"/>
      <c r="AG988" s="94"/>
      <c r="AH988" s="94"/>
      <c r="AI988" s="94"/>
      <c r="AJ988" s="94"/>
      <c r="AK988" s="94"/>
      <c r="AL988" s="94"/>
      <c r="AM988" s="254"/>
      <c r="AN988" s="254"/>
      <c r="AO988" s="94"/>
      <c r="AP988" s="94"/>
      <c r="AQ988" s="94"/>
      <c r="AR988" s="94"/>
      <c r="AS988" s="207"/>
    </row>
    <row r="989" spans="13:45" ht="12.75">
      <c r="M989" s="104"/>
      <c r="O989" s="206" t="s">
        <v>2005</v>
      </c>
      <c r="P989" s="94" t="s">
        <v>2006</v>
      </c>
      <c r="Q989" s="180">
        <v>65907</v>
      </c>
      <c r="R989" s="258">
        <v>1250</v>
      </c>
      <c r="S989" s="259">
        <v>50</v>
      </c>
      <c r="T989" s="213" t="s">
        <v>4994</v>
      </c>
      <c r="U989" s="213">
        <v>3</v>
      </c>
      <c r="V989" s="213" t="s">
        <v>3443</v>
      </c>
      <c r="W989" s="213" t="s">
        <v>3572</v>
      </c>
      <c r="X989" s="213" t="s">
        <v>3490</v>
      </c>
      <c r="Y989" s="213" t="s">
        <v>1540</v>
      </c>
      <c r="Z989" s="213" t="s">
        <v>2000</v>
      </c>
      <c r="AA989" s="213">
        <v>50</v>
      </c>
      <c r="AB989" s="213">
        <v>105</v>
      </c>
      <c r="AC989" s="207" t="s">
        <v>1540</v>
      </c>
      <c r="AD989"/>
      <c r="AE989" s="206"/>
      <c r="AF989" s="94"/>
      <c r="AG989" s="94"/>
      <c r="AH989" s="94"/>
      <c r="AI989" s="94"/>
      <c r="AJ989" s="94"/>
      <c r="AK989" s="94"/>
      <c r="AL989" s="94"/>
      <c r="AM989" s="254"/>
      <c r="AN989" s="254"/>
      <c r="AO989" s="94"/>
      <c r="AP989" s="94"/>
      <c r="AQ989" s="94"/>
      <c r="AR989" s="94"/>
      <c r="AS989" s="207"/>
    </row>
    <row r="990" spans="13:45" ht="12.75">
      <c r="M990" s="104"/>
      <c r="O990" s="206" t="s">
        <v>2007</v>
      </c>
      <c r="P990" s="94" t="s">
        <v>2008</v>
      </c>
      <c r="Q990" s="180">
        <v>73043</v>
      </c>
      <c r="R990" s="258">
        <v>800</v>
      </c>
      <c r="S990" s="259">
        <v>50</v>
      </c>
      <c r="T990" s="213" t="s">
        <v>4994</v>
      </c>
      <c r="U990" s="213">
        <v>4</v>
      </c>
      <c r="V990" s="213" t="s">
        <v>3439</v>
      </c>
      <c r="W990" s="213" t="s">
        <v>3361</v>
      </c>
      <c r="X990" s="213" t="s">
        <v>3490</v>
      </c>
      <c r="Y990" s="213" t="s">
        <v>1540</v>
      </c>
      <c r="Z990" s="213" t="s">
        <v>2000</v>
      </c>
      <c r="AA990" s="213">
        <v>50</v>
      </c>
      <c r="AB990" s="213">
        <v>105</v>
      </c>
      <c r="AC990" s="207" t="s">
        <v>1540</v>
      </c>
      <c r="AD990"/>
      <c r="AE990" s="206"/>
      <c r="AF990" s="94"/>
      <c r="AG990" s="94"/>
      <c r="AH990" s="94"/>
      <c r="AI990" s="94"/>
      <c r="AJ990" s="94"/>
      <c r="AK990" s="94"/>
      <c r="AL990" s="94"/>
      <c r="AM990" s="254"/>
      <c r="AN990" s="254"/>
      <c r="AO990" s="94"/>
      <c r="AP990" s="94"/>
      <c r="AQ990" s="94"/>
      <c r="AR990" s="94"/>
      <c r="AS990" s="207"/>
    </row>
    <row r="991" spans="13:45" ht="12.75">
      <c r="M991" s="104"/>
      <c r="O991" s="206" t="s">
        <v>2009</v>
      </c>
      <c r="P991" s="94" t="s">
        <v>2010</v>
      </c>
      <c r="Q991" s="180">
        <v>84515</v>
      </c>
      <c r="R991" s="258">
        <v>1250</v>
      </c>
      <c r="S991" s="259">
        <v>50</v>
      </c>
      <c r="T991" s="213" t="s">
        <v>4994</v>
      </c>
      <c r="U991" s="213">
        <v>4</v>
      </c>
      <c r="V991" s="213" t="s">
        <v>3439</v>
      </c>
      <c r="W991" s="213" t="s">
        <v>3361</v>
      </c>
      <c r="X991" s="213" t="s">
        <v>3490</v>
      </c>
      <c r="Y991" s="213" t="s">
        <v>1540</v>
      </c>
      <c r="Z991" s="213" t="s">
        <v>2000</v>
      </c>
      <c r="AA991" s="213">
        <v>50</v>
      </c>
      <c r="AB991" s="213">
        <v>105</v>
      </c>
      <c r="AC991" s="207" t="s">
        <v>1540</v>
      </c>
      <c r="AD991"/>
      <c r="AE991" s="206"/>
      <c r="AF991" s="94"/>
      <c r="AG991" s="94"/>
      <c r="AH991" s="94"/>
      <c r="AI991" s="94"/>
      <c r="AJ991" s="94"/>
      <c r="AK991" s="94"/>
      <c r="AL991" s="94"/>
      <c r="AM991" s="254"/>
      <c r="AN991" s="254"/>
      <c r="AO991" s="94"/>
      <c r="AP991" s="94"/>
      <c r="AQ991" s="94"/>
      <c r="AR991" s="94"/>
      <c r="AS991" s="207"/>
    </row>
    <row r="992" spans="13:45" ht="12.75">
      <c r="M992" s="104"/>
      <c r="O992" s="206" t="s">
        <v>2011</v>
      </c>
      <c r="P992" s="94" t="s">
        <v>2012</v>
      </c>
      <c r="Q992" s="180">
        <v>91524</v>
      </c>
      <c r="R992" s="258">
        <v>800</v>
      </c>
      <c r="S992" s="259">
        <v>50</v>
      </c>
      <c r="T992" s="213" t="s">
        <v>4994</v>
      </c>
      <c r="U992" s="213">
        <v>4</v>
      </c>
      <c r="V992" s="213" t="s">
        <v>3443</v>
      </c>
      <c r="W992" s="213" t="s">
        <v>3572</v>
      </c>
      <c r="X992" s="213" t="s">
        <v>3490</v>
      </c>
      <c r="Y992" s="213" t="s">
        <v>1540</v>
      </c>
      <c r="Z992" s="213" t="s">
        <v>2000</v>
      </c>
      <c r="AA992" s="213">
        <v>50</v>
      </c>
      <c r="AB992" s="213">
        <v>105</v>
      </c>
      <c r="AC992" s="207" t="s">
        <v>1540</v>
      </c>
      <c r="AD992"/>
      <c r="AE992" s="206"/>
      <c r="AF992" s="94"/>
      <c r="AG992" s="94"/>
      <c r="AH992" s="94"/>
      <c r="AI992" s="94"/>
      <c r="AJ992" s="94"/>
      <c r="AK992" s="94"/>
      <c r="AL992" s="94"/>
      <c r="AM992" s="254"/>
      <c r="AN992" s="254"/>
      <c r="AO992" s="94"/>
      <c r="AP992" s="94"/>
      <c r="AQ992" s="94"/>
      <c r="AR992" s="94"/>
      <c r="AS992" s="207"/>
    </row>
    <row r="993" spans="13:45" ht="12.75">
      <c r="M993" s="104"/>
      <c r="O993" s="206" t="s">
        <v>2013</v>
      </c>
      <c r="P993" s="94" t="s">
        <v>2014</v>
      </c>
      <c r="Q993" s="180">
        <v>88891</v>
      </c>
      <c r="R993" s="258">
        <v>1250</v>
      </c>
      <c r="S993" s="259">
        <v>50</v>
      </c>
      <c r="T993" s="213" t="s">
        <v>4994</v>
      </c>
      <c r="U993" s="213">
        <v>4</v>
      </c>
      <c r="V993" s="213" t="s">
        <v>3443</v>
      </c>
      <c r="W993" s="213" t="s">
        <v>3572</v>
      </c>
      <c r="X993" s="213" t="s">
        <v>3490</v>
      </c>
      <c r="Y993" s="213" t="s">
        <v>1540</v>
      </c>
      <c r="Z993" s="213" t="s">
        <v>2000</v>
      </c>
      <c r="AA993" s="213">
        <v>50</v>
      </c>
      <c r="AB993" s="213">
        <v>105</v>
      </c>
      <c r="AC993" s="207" t="s">
        <v>1540</v>
      </c>
      <c r="AD993"/>
      <c r="AE993" s="206"/>
      <c r="AF993" s="94"/>
      <c r="AG993" s="94"/>
      <c r="AH993" s="94"/>
      <c r="AI993" s="94"/>
      <c r="AJ993" s="94"/>
      <c r="AK993" s="94"/>
      <c r="AL993" s="94"/>
      <c r="AM993" s="254"/>
      <c r="AN993" s="254"/>
      <c r="AO993" s="94"/>
      <c r="AP993" s="94"/>
      <c r="AQ993" s="94"/>
      <c r="AR993" s="94"/>
      <c r="AS993" s="207"/>
    </row>
    <row r="994" spans="13:45" ht="12.75">
      <c r="M994" s="104"/>
      <c r="O994" s="206" t="s">
        <v>1800</v>
      </c>
      <c r="P994" s="94" t="s">
        <v>4198</v>
      </c>
      <c r="Q994" s="180">
        <v>26996</v>
      </c>
      <c r="R994" s="258" t="s">
        <v>1540</v>
      </c>
      <c r="S994" s="259" t="s">
        <v>1540</v>
      </c>
      <c r="T994" s="213" t="s">
        <v>4994</v>
      </c>
      <c r="U994" s="213">
        <v>3</v>
      </c>
      <c r="V994" s="213" t="s">
        <v>3443</v>
      </c>
      <c r="W994" s="213" t="s">
        <v>3367</v>
      </c>
      <c r="X994" s="213" t="s">
        <v>1540</v>
      </c>
      <c r="Y994" s="213" t="s">
        <v>1540</v>
      </c>
      <c r="Z994" s="213" t="s">
        <v>1540</v>
      </c>
      <c r="AA994" s="213" t="s">
        <v>1540</v>
      </c>
      <c r="AB994" s="213" t="s">
        <v>1540</v>
      </c>
      <c r="AC994" s="207" t="s">
        <v>1540</v>
      </c>
      <c r="AD994"/>
      <c r="AE994" s="206"/>
      <c r="AF994" s="94"/>
      <c r="AG994" s="94"/>
      <c r="AH994" s="94"/>
      <c r="AI994" s="94"/>
      <c r="AJ994" s="94"/>
      <c r="AK994" s="94"/>
      <c r="AL994" s="94"/>
      <c r="AM994" s="254"/>
      <c r="AN994" s="254"/>
      <c r="AO994" s="94"/>
      <c r="AP994" s="94"/>
      <c r="AQ994" s="94"/>
      <c r="AR994" s="94"/>
      <c r="AS994" s="207"/>
    </row>
    <row r="995" spans="13:45" ht="12.75">
      <c r="M995" s="104"/>
      <c r="O995" s="206" t="s">
        <v>1801</v>
      </c>
      <c r="P995" s="94" t="s">
        <v>4199</v>
      </c>
      <c r="Q995" s="180">
        <v>29303</v>
      </c>
      <c r="R995" s="258" t="s">
        <v>1540</v>
      </c>
      <c r="S995" s="259" t="s">
        <v>1540</v>
      </c>
      <c r="T995" s="213" t="s">
        <v>4994</v>
      </c>
      <c r="U995" s="213">
        <v>3</v>
      </c>
      <c r="V995" s="213" t="s">
        <v>3443</v>
      </c>
      <c r="W995" s="213" t="s">
        <v>2015</v>
      </c>
      <c r="X995" s="213" t="s">
        <v>1540</v>
      </c>
      <c r="Y995" s="213" t="s">
        <v>1540</v>
      </c>
      <c r="Z995" s="213" t="s">
        <v>1540</v>
      </c>
      <c r="AA995" s="213" t="s">
        <v>1540</v>
      </c>
      <c r="AB995" s="213" t="s">
        <v>1540</v>
      </c>
      <c r="AC995" s="207" t="s">
        <v>1540</v>
      </c>
      <c r="AD995"/>
      <c r="AE995" s="206"/>
      <c r="AF995" s="94"/>
      <c r="AG995" s="94"/>
      <c r="AH995" s="94"/>
      <c r="AI995" s="94"/>
      <c r="AJ995" s="94"/>
      <c r="AK995" s="94"/>
      <c r="AL995" s="94"/>
      <c r="AM995" s="254"/>
      <c r="AN995" s="254"/>
      <c r="AO995" s="94"/>
      <c r="AP995" s="94"/>
      <c r="AQ995" s="94"/>
      <c r="AR995" s="94"/>
      <c r="AS995" s="207"/>
    </row>
    <row r="996" spans="13:45" ht="12.75">
      <c r="M996" s="104"/>
      <c r="O996" s="206" t="s">
        <v>1803</v>
      </c>
      <c r="P996" s="94" t="s">
        <v>4201</v>
      </c>
      <c r="Q996" s="180">
        <v>24138</v>
      </c>
      <c r="R996" s="258" t="s">
        <v>1540</v>
      </c>
      <c r="S996" s="259" t="s">
        <v>1540</v>
      </c>
      <c r="T996" s="213" t="s">
        <v>4994</v>
      </c>
      <c r="U996" s="213">
        <v>3</v>
      </c>
      <c r="V996" s="213" t="s">
        <v>3443</v>
      </c>
      <c r="W996" s="213" t="s">
        <v>3371</v>
      </c>
      <c r="X996" s="213" t="s">
        <v>1540</v>
      </c>
      <c r="Y996" s="213" t="s">
        <v>1540</v>
      </c>
      <c r="Z996" s="213" t="s">
        <v>1540</v>
      </c>
      <c r="AA996" s="213" t="s">
        <v>1540</v>
      </c>
      <c r="AB996" s="213" t="s">
        <v>1540</v>
      </c>
      <c r="AC996" s="207" t="s">
        <v>1540</v>
      </c>
      <c r="AD996"/>
      <c r="AE996" s="206"/>
      <c r="AF996" s="94"/>
      <c r="AG996" s="94"/>
      <c r="AH996" s="94"/>
      <c r="AI996" s="94"/>
      <c r="AJ996" s="94"/>
      <c r="AK996" s="94"/>
      <c r="AL996" s="94"/>
      <c r="AM996" s="254"/>
      <c r="AN996" s="254"/>
      <c r="AO996" s="94"/>
      <c r="AP996" s="94"/>
      <c r="AQ996" s="94"/>
      <c r="AR996" s="94"/>
      <c r="AS996" s="207"/>
    </row>
    <row r="997" spans="13:45" ht="12.75">
      <c r="M997" s="104"/>
      <c r="O997" s="206" t="s">
        <v>1805</v>
      </c>
      <c r="P997" s="94" t="s">
        <v>4203</v>
      </c>
      <c r="Q997" s="180">
        <v>26996</v>
      </c>
      <c r="R997" s="258" t="s">
        <v>1540</v>
      </c>
      <c r="S997" s="259" t="s">
        <v>1540</v>
      </c>
      <c r="T997" s="213" t="s">
        <v>4994</v>
      </c>
      <c r="U997" s="213">
        <v>3</v>
      </c>
      <c r="V997" s="213" t="s">
        <v>3443</v>
      </c>
      <c r="W997" s="213" t="s">
        <v>3368</v>
      </c>
      <c r="X997" s="213" t="s">
        <v>1540</v>
      </c>
      <c r="Y997" s="213" t="s">
        <v>1540</v>
      </c>
      <c r="Z997" s="213" t="s">
        <v>1540</v>
      </c>
      <c r="AA997" s="213" t="s">
        <v>1540</v>
      </c>
      <c r="AB997" s="213" t="s">
        <v>1540</v>
      </c>
      <c r="AC997" s="207" t="s">
        <v>1540</v>
      </c>
      <c r="AD997"/>
      <c r="AE997" s="206"/>
      <c r="AF997" s="94"/>
      <c r="AG997" s="94"/>
      <c r="AH997" s="94"/>
      <c r="AI997" s="94"/>
      <c r="AJ997" s="94"/>
      <c r="AK997" s="94"/>
      <c r="AL997" s="94"/>
      <c r="AM997" s="254"/>
      <c r="AN997" s="254"/>
      <c r="AO997" s="94"/>
      <c r="AP997" s="94"/>
      <c r="AQ997" s="94"/>
      <c r="AR997" s="94"/>
      <c r="AS997" s="207"/>
    </row>
    <row r="998" spans="13:45" ht="12.75">
      <c r="M998" s="104"/>
      <c r="O998" s="206" t="s">
        <v>1797</v>
      </c>
      <c r="P998" s="94" t="s">
        <v>4195</v>
      </c>
      <c r="Q998" s="180">
        <v>32159</v>
      </c>
      <c r="R998" s="258" t="s">
        <v>1540</v>
      </c>
      <c r="S998" s="259" t="s">
        <v>1540</v>
      </c>
      <c r="T998" s="213" t="s">
        <v>4994</v>
      </c>
      <c r="U998" s="213">
        <v>3</v>
      </c>
      <c r="V998" s="213" t="s">
        <v>3443</v>
      </c>
      <c r="W998" s="213" t="s">
        <v>2016</v>
      </c>
      <c r="X998" s="213" t="s">
        <v>1540</v>
      </c>
      <c r="Y998" s="213" t="s">
        <v>1540</v>
      </c>
      <c r="Z998" s="213" t="s">
        <v>1540</v>
      </c>
      <c r="AA998" s="213" t="s">
        <v>1540</v>
      </c>
      <c r="AB998" s="213" t="s">
        <v>1540</v>
      </c>
      <c r="AC998" s="207" t="s">
        <v>1540</v>
      </c>
      <c r="AD998"/>
      <c r="AE998" s="206"/>
      <c r="AF998" s="94"/>
      <c r="AG998" s="94"/>
      <c r="AH998" s="94"/>
      <c r="AI998" s="94"/>
      <c r="AJ998" s="94"/>
      <c r="AK998" s="94"/>
      <c r="AL998" s="94"/>
      <c r="AM998" s="254"/>
      <c r="AN998" s="254"/>
      <c r="AO998" s="94"/>
      <c r="AP998" s="94"/>
      <c r="AQ998" s="94"/>
      <c r="AR998" s="94"/>
      <c r="AS998" s="207"/>
    </row>
    <row r="999" spans="13:45" ht="12.75">
      <c r="M999" s="104"/>
      <c r="O999" s="206" t="s">
        <v>1808</v>
      </c>
      <c r="P999" s="94" t="s">
        <v>4206</v>
      </c>
      <c r="Q999" s="180">
        <v>26996</v>
      </c>
      <c r="R999" s="258" t="s">
        <v>1540</v>
      </c>
      <c r="S999" s="259" t="s">
        <v>1540</v>
      </c>
      <c r="T999" s="213" t="s">
        <v>4994</v>
      </c>
      <c r="U999" s="213">
        <v>3</v>
      </c>
      <c r="V999" s="213" t="s">
        <v>3443</v>
      </c>
      <c r="W999" s="213" t="s">
        <v>3372</v>
      </c>
      <c r="X999" s="213" t="s">
        <v>1540</v>
      </c>
      <c r="Y999" s="213" t="s">
        <v>1540</v>
      </c>
      <c r="Z999" s="213" t="s">
        <v>1540</v>
      </c>
      <c r="AA999" s="213" t="s">
        <v>1540</v>
      </c>
      <c r="AB999" s="213" t="s">
        <v>1540</v>
      </c>
      <c r="AC999" s="207" t="s">
        <v>1540</v>
      </c>
      <c r="AD999"/>
      <c r="AE999" s="206"/>
      <c r="AF999" s="94"/>
      <c r="AG999" s="94"/>
      <c r="AH999" s="94"/>
      <c r="AI999" s="94"/>
      <c r="AJ999" s="94"/>
      <c r="AK999" s="94"/>
      <c r="AL999" s="94"/>
      <c r="AM999" s="254"/>
      <c r="AN999" s="254"/>
      <c r="AO999" s="94"/>
      <c r="AP999" s="94"/>
      <c r="AQ999" s="94"/>
      <c r="AR999" s="94"/>
      <c r="AS999" s="207"/>
    </row>
    <row r="1000" spans="13:45" ht="12.75">
      <c r="M1000" s="104"/>
      <c r="O1000" s="206" t="s">
        <v>1798</v>
      </c>
      <c r="P1000" s="94" t="s">
        <v>4196</v>
      </c>
      <c r="Q1000" s="180">
        <v>29303</v>
      </c>
      <c r="R1000" s="258" t="s">
        <v>1540</v>
      </c>
      <c r="S1000" s="259" t="s">
        <v>1540</v>
      </c>
      <c r="T1000" s="213" t="s">
        <v>4994</v>
      </c>
      <c r="U1000" s="213">
        <v>3</v>
      </c>
      <c r="V1000" s="213" t="s">
        <v>3443</v>
      </c>
      <c r="W1000" s="213" t="s">
        <v>3369</v>
      </c>
      <c r="X1000" s="213" t="s">
        <v>1540</v>
      </c>
      <c r="Y1000" s="213" t="s">
        <v>1540</v>
      </c>
      <c r="Z1000" s="213" t="s">
        <v>1540</v>
      </c>
      <c r="AA1000" s="213" t="s">
        <v>1540</v>
      </c>
      <c r="AB1000" s="213" t="s">
        <v>1540</v>
      </c>
      <c r="AC1000" s="207" t="s">
        <v>1540</v>
      </c>
      <c r="AD1000"/>
      <c r="AE1000" s="206"/>
      <c r="AF1000" s="94"/>
      <c r="AG1000" s="94"/>
      <c r="AH1000" s="94"/>
      <c r="AI1000" s="94"/>
      <c r="AJ1000" s="94"/>
      <c r="AK1000" s="94"/>
      <c r="AL1000" s="94"/>
      <c r="AM1000" s="254"/>
      <c r="AN1000" s="254"/>
      <c r="AO1000" s="94"/>
      <c r="AP1000" s="94"/>
      <c r="AQ1000" s="94"/>
      <c r="AR1000" s="94"/>
      <c r="AS1000" s="207"/>
    </row>
    <row r="1001" spans="13:45" ht="12.75">
      <c r="M1001" s="104"/>
      <c r="O1001" s="206" t="s">
        <v>1812</v>
      </c>
      <c r="P1001" s="94" t="s">
        <v>4210</v>
      </c>
      <c r="Q1001" s="180">
        <v>32159</v>
      </c>
      <c r="R1001" s="258" t="s">
        <v>1540</v>
      </c>
      <c r="S1001" s="259" t="s">
        <v>1540</v>
      </c>
      <c r="T1001" s="213" t="s">
        <v>4994</v>
      </c>
      <c r="U1001" s="213">
        <v>3</v>
      </c>
      <c r="V1001" s="213" t="s">
        <v>3443</v>
      </c>
      <c r="W1001" s="213" t="s">
        <v>3370</v>
      </c>
      <c r="X1001" s="213" t="s">
        <v>1540</v>
      </c>
      <c r="Y1001" s="213" t="s">
        <v>1540</v>
      </c>
      <c r="Z1001" s="213" t="s">
        <v>1540</v>
      </c>
      <c r="AA1001" s="213" t="s">
        <v>1540</v>
      </c>
      <c r="AB1001" s="213" t="s">
        <v>1540</v>
      </c>
      <c r="AC1001" s="207" t="s">
        <v>1540</v>
      </c>
      <c r="AD1001"/>
      <c r="AE1001" s="206"/>
      <c r="AF1001" s="94"/>
      <c r="AG1001" s="94"/>
      <c r="AH1001" s="94"/>
      <c r="AI1001" s="94"/>
      <c r="AJ1001" s="94"/>
      <c r="AK1001" s="94"/>
      <c r="AL1001" s="94"/>
      <c r="AM1001" s="254"/>
      <c r="AN1001" s="254"/>
      <c r="AO1001" s="94"/>
      <c r="AP1001" s="94"/>
      <c r="AQ1001" s="94"/>
      <c r="AR1001" s="94"/>
      <c r="AS1001" s="207"/>
    </row>
    <row r="1002" spans="13:45" ht="12.75">
      <c r="M1002" s="104"/>
      <c r="O1002" s="206" t="s">
        <v>1807</v>
      </c>
      <c r="P1002" s="94" t="s">
        <v>4205</v>
      </c>
      <c r="Q1002" s="180">
        <v>29303</v>
      </c>
      <c r="R1002" s="258" t="s">
        <v>1540</v>
      </c>
      <c r="S1002" s="259" t="s">
        <v>1540</v>
      </c>
      <c r="T1002" s="213" t="s">
        <v>4994</v>
      </c>
      <c r="U1002" s="213">
        <v>3</v>
      </c>
      <c r="V1002" s="213" t="s">
        <v>3443</v>
      </c>
      <c r="W1002" s="213" t="s">
        <v>3373</v>
      </c>
      <c r="X1002" s="213" t="s">
        <v>1540</v>
      </c>
      <c r="Y1002" s="213" t="s">
        <v>1540</v>
      </c>
      <c r="Z1002" s="213" t="s">
        <v>1540</v>
      </c>
      <c r="AA1002" s="213" t="s">
        <v>1540</v>
      </c>
      <c r="AB1002" s="213" t="s">
        <v>1540</v>
      </c>
      <c r="AC1002" s="207" t="s">
        <v>1540</v>
      </c>
      <c r="AD1002"/>
      <c r="AE1002" s="206"/>
      <c r="AF1002" s="94"/>
      <c r="AG1002" s="94"/>
      <c r="AH1002" s="94"/>
      <c r="AI1002" s="94"/>
      <c r="AJ1002" s="94"/>
      <c r="AK1002" s="94"/>
      <c r="AL1002" s="94"/>
      <c r="AM1002" s="254"/>
      <c r="AN1002" s="254"/>
      <c r="AO1002" s="94"/>
      <c r="AP1002" s="94"/>
      <c r="AQ1002" s="94"/>
      <c r="AR1002" s="94"/>
      <c r="AS1002" s="207"/>
    </row>
    <row r="1003" spans="13:45" ht="12.75">
      <c r="M1003" s="104"/>
      <c r="O1003" s="206" t="s">
        <v>1815</v>
      </c>
      <c r="P1003" s="94" t="s">
        <v>4213</v>
      </c>
      <c r="Q1003" s="180">
        <v>24138</v>
      </c>
      <c r="R1003" s="258" t="s">
        <v>1540</v>
      </c>
      <c r="S1003" s="259" t="s">
        <v>1540</v>
      </c>
      <c r="T1003" s="213" t="s">
        <v>4994</v>
      </c>
      <c r="U1003" s="213">
        <v>3</v>
      </c>
      <c r="V1003" s="213" t="s">
        <v>3443</v>
      </c>
      <c r="W1003" s="213" t="s">
        <v>3374</v>
      </c>
      <c r="X1003" s="213" t="s">
        <v>1540</v>
      </c>
      <c r="Y1003" s="213" t="s">
        <v>1540</v>
      </c>
      <c r="Z1003" s="213" t="s">
        <v>1540</v>
      </c>
      <c r="AA1003" s="213" t="s">
        <v>1540</v>
      </c>
      <c r="AB1003" s="213" t="s">
        <v>1540</v>
      </c>
      <c r="AC1003" s="207" t="s">
        <v>1540</v>
      </c>
      <c r="AD1003"/>
      <c r="AE1003" s="206"/>
      <c r="AF1003" s="94"/>
      <c r="AG1003" s="94"/>
      <c r="AH1003" s="94"/>
      <c r="AI1003" s="94"/>
      <c r="AJ1003" s="94"/>
      <c r="AK1003" s="94"/>
      <c r="AL1003" s="94"/>
      <c r="AM1003" s="254"/>
      <c r="AN1003" s="254"/>
      <c r="AO1003" s="94"/>
      <c r="AP1003" s="94"/>
      <c r="AQ1003" s="94"/>
      <c r="AR1003" s="94"/>
      <c r="AS1003" s="207"/>
    </row>
    <row r="1004" spans="13:45" ht="12.75">
      <c r="M1004" s="104"/>
      <c r="O1004" s="206" t="s">
        <v>1817</v>
      </c>
      <c r="P1004" s="94" t="s">
        <v>4215</v>
      </c>
      <c r="Q1004" s="180">
        <v>26996</v>
      </c>
      <c r="R1004" s="258" t="s">
        <v>1540</v>
      </c>
      <c r="S1004" s="259" t="s">
        <v>1540</v>
      </c>
      <c r="T1004" s="213" t="s">
        <v>4994</v>
      </c>
      <c r="U1004" s="213">
        <v>3</v>
      </c>
      <c r="V1004" s="213" t="s">
        <v>3443</v>
      </c>
      <c r="W1004" s="213" t="s">
        <v>3375</v>
      </c>
      <c r="X1004" s="213" t="s">
        <v>1540</v>
      </c>
      <c r="Y1004" s="213" t="s">
        <v>1540</v>
      </c>
      <c r="Z1004" s="213" t="s">
        <v>1540</v>
      </c>
      <c r="AA1004" s="213" t="s">
        <v>1540</v>
      </c>
      <c r="AB1004" s="213" t="s">
        <v>1540</v>
      </c>
      <c r="AC1004" s="207" t="s">
        <v>1540</v>
      </c>
      <c r="AD1004"/>
      <c r="AE1004" s="206"/>
      <c r="AF1004" s="94"/>
      <c r="AG1004" s="94"/>
      <c r="AH1004" s="94"/>
      <c r="AI1004" s="94"/>
      <c r="AJ1004" s="94"/>
      <c r="AK1004" s="94"/>
      <c r="AL1004" s="94"/>
      <c r="AM1004" s="254"/>
      <c r="AN1004" s="254"/>
      <c r="AO1004" s="94"/>
      <c r="AP1004" s="94"/>
      <c r="AQ1004" s="94"/>
      <c r="AR1004" s="94"/>
      <c r="AS1004" s="207"/>
    </row>
    <row r="1005" spans="13:45" ht="12.75">
      <c r="M1005" s="104"/>
      <c r="O1005" s="206" t="s">
        <v>1819</v>
      </c>
      <c r="P1005" s="94" t="s">
        <v>4217</v>
      </c>
      <c r="Q1005" s="180">
        <v>29303</v>
      </c>
      <c r="R1005" s="258" t="s">
        <v>1540</v>
      </c>
      <c r="S1005" s="259" t="s">
        <v>1540</v>
      </c>
      <c r="T1005" s="213" t="s">
        <v>4994</v>
      </c>
      <c r="U1005" s="213">
        <v>3</v>
      </c>
      <c r="V1005" s="213" t="s">
        <v>3443</v>
      </c>
      <c r="W1005" s="213" t="s">
        <v>2017</v>
      </c>
      <c r="X1005" s="213" t="s">
        <v>1540</v>
      </c>
      <c r="Y1005" s="213" t="s">
        <v>1540</v>
      </c>
      <c r="Z1005" s="213" t="s">
        <v>1540</v>
      </c>
      <c r="AA1005" s="213" t="s">
        <v>1540</v>
      </c>
      <c r="AB1005" s="213" t="s">
        <v>1540</v>
      </c>
      <c r="AC1005" s="207" t="s">
        <v>1540</v>
      </c>
      <c r="AD1005"/>
      <c r="AE1005" s="206"/>
      <c r="AF1005" s="94"/>
      <c r="AG1005" s="94"/>
      <c r="AH1005" s="94"/>
      <c r="AI1005" s="94"/>
      <c r="AJ1005" s="94"/>
      <c r="AK1005" s="94"/>
      <c r="AL1005" s="94"/>
      <c r="AM1005" s="254"/>
      <c r="AN1005" s="254"/>
      <c r="AO1005" s="94"/>
      <c r="AP1005" s="94"/>
      <c r="AQ1005" s="94"/>
      <c r="AR1005" s="94"/>
      <c r="AS1005" s="207"/>
    </row>
    <row r="1006" spans="13:45" ht="12.75">
      <c r="M1006" s="104"/>
      <c r="O1006" s="206" t="s">
        <v>1813</v>
      </c>
      <c r="P1006" s="94" t="s">
        <v>4211</v>
      </c>
      <c r="Q1006" s="180">
        <v>41765</v>
      </c>
      <c r="R1006" s="258" t="s">
        <v>1540</v>
      </c>
      <c r="S1006" s="259" t="s">
        <v>1540</v>
      </c>
      <c r="T1006" s="213" t="s">
        <v>4994</v>
      </c>
      <c r="U1006" s="213">
        <v>4</v>
      </c>
      <c r="V1006" s="213" t="s">
        <v>3443</v>
      </c>
      <c r="W1006" s="213" t="s">
        <v>3370</v>
      </c>
      <c r="X1006" s="213" t="s">
        <v>1540</v>
      </c>
      <c r="Y1006" s="213" t="s">
        <v>1540</v>
      </c>
      <c r="Z1006" s="213" t="s">
        <v>1540</v>
      </c>
      <c r="AA1006" s="213" t="s">
        <v>1540</v>
      </c>
      <c r="AB1006" s="213" t="s">
        <v>1540</v>
      </c>
      <c r="AC1006" s="207" t="s">
        <v>1540</v>
      </c>
      <c r="AD1006"/>
      <c r="AE1006" s="206"/>
      <c r="AF1006" s="94"/>
      <c r="AG1006" s="94"/>
      <c r="AH1006" s="94"/>
      <c r="AI1006" s="94"/>
      <c r="AJ1006" s="94"/>
      <c r="AK1006" s="94"/>
      <c r="AL1006" s="94"/>
      <c r="AM1006" s="254"/>
      <c r="AN1006" s="254"/>
      <c r="AO1006" s="94"/>
      <c r="AP1006" s="94"/>
      <c r="AQ1006" s="94"/>
      <c r="AR1006" s="94"/>
      <c r="AS1006" s="207"/>
    </row>
    <row r="1007" spans="13:45" ht="12.75">
      <c r="M1007" s="104"/>
      <c r="O1007" s="206" t="s">
        <v>1799</v>
      </c>
      <c r="P1007" s="94" t="s">
        <v>4197</v>
      </c>
      <c r="Q1007" s="180">
        <v>34825</v>
      </c>
      <c r="R1007" s="258" t="s">
        <v>1540</v>
      </c>
      <c r="S1007" s="259" t="s">
        <v>1540</v>
      </c>
      <c r="T1007" s="213" t="s">
        <v>4994</v>
      </c>
      <c r="U1007" s="213">
        <v>4</v>
      </c>
      <c r="V1007" s="213" t="s">
        <v>3443</v>
      </c>
      <c r="W1007" s="213" t="s">
        <v>3367</v>
      </c>
      <c r="X1007" s="213" t="s">
        <v>1540</v>
      </c>
      <c r="Y1007" s="213" t="s">
        <v>1540</v>
      </c>
      <c r="Z1007" s="213" t="s">
        <v>1540</v>
      </c>
      <c r="AA1007" s="213" t="s">
        <v>1540</v>
      </c>
      <c r="AB1007" s="213" t="s">
        <v>1540</v>
      </c>
      <c r="AC1007" s="207" t="s">
        <v>1540</v>
      </c>
      <c r="AD1007"/>
      <c r="AE1007" s="206"/>
      <c r="AF1007" s="94"/>
      <c r="AG1007" s="94"/>
      <c r="AH1007" s="94"/>
      <c r="AI1007" s="94"/>
      <c r="AJ1007" s="94"/>
      <c r="AK1007" s="94"/>
      <c r="AL1007" s="94"/>
      <c r="AM1007" s="254"/>
      <c r="AN1007" s="254"/>
      <c r="AO1007" s="94"/>
      <c r="AP1007" s="94"/>
      <c r="AQ1007" s="94"/>
      <c r="AR1007" s="94"/>
      <c r="AS1007" s="207"/>
    </row>
    <row r="1008" spans="13:45" ht="12.75">
      <c r="M1008" s="104"/>
      <c r="O1008" s="206" t="s">
        <v>1802</v>
      </c>
      <c r="P1008" s="94" t="s">
        <v>4200</v>
      </c>
      <c r="Q1008" s="180">
        <v>37968</v>
      </c>
      <c r="R1008" s="258" t="s">
        <v>1540</v>
      </c>
      <c r="S1008" s="259" t="s">
        <v>1540</v>
      </c>
      <c r="T1008" s="213" t="s">
        <v>4994</v>
      </c>
      <c r="U1008" s="213">
        <v>4</v>
      </c>
      <c r="V1008" s="213" t="s">
        <v>3443</v>
      </c>
      <c r="W1008" s="213" t="s">
        <v>2015</v>
      </c>
      <c r="X1008" s="213" t="s">
        <v>1540</v>
      </c>
      <c r="Y1008" s="213" t="s">
        <v>1540</v>
      </c>
      <c r="Z1008" s="213" t="s">
        <v>1540</v>
      </c>
      <c r="AA1008" s="213" t="s">
        <v>1540</v>
      </c>
      <c r="AB1008" s="213" t="s">
        <v>1540</v>
      </c>
      <c r="AC1008" s="207" t="s">
        <v>1540</v>
      </c>
      <c r="AD1008"/>
      <c r="AE1008" s="206"/>
      <c r="AF1008" s="94"/>
      <c r="AG1008" s="94"/>
      <c r="AH1008" s="94"/>
      <c r="AI1008" s="94"/>
      <c r="AJ1008" s="94"/>
      <c r="AK1008" s="94"/>
      <c r="AL1008" s="94"/>
      <c r="AM1008" s="254"/>
      <c r="AN1008" s="254"/>
      <c r="AO1008" s="94"/>
      <c r="AP1008" s="94"/>
      <c r="AQ1008" s="94"/>
      <c r="AR1008" s="94"/>
      <c r="AS1008" s="207"/>
    </row>
    <row r="1009" spans="13:45" ht="12.75">
      <c r="M1009" s="104"/>
      <c r="O1009" s="206" t="s">
        <v>1804</v>
      </c>
      <c r="P1009" s="94" t="s">
        <v>4202</v>
      </c>
      <c r="Q1009" s="180">
        <v>31027</v>
      </c>
      <c r="R1009" s="258" t="s">
        <v>1540</v>
      </c>
      <c r="S1009" s="259" t="s">
        <v>1540</v>
      </c>
      <c r="T1009" s="213" t="s">
        <v>4994</v>
      </c>
      <c r="U1009" s="213">
        <v>4</v>
      </c>
      <c r="V1009" s="213" t="s">
        <v>3443</v>
      </c>
      <c r="W1009" s="213" t="s">
        <v>3371</v>
      </c>
      <c r="X1009" s="213" t="s">
        <v>1540</v>
      </c>
      <c r="Y1009" s="213" t="s">
        <v>1540</v>
      </c>
      <c r="Z1009" s="213" t="s">
        <v>1540</v>
      </c>
      <c r="AA1009" s="213" t="s">
        <v>1540</v>
      </c>
      <c r="AB1009" s="213" t="s">
        <v>1540</v>
      </c>
      <c r="AC1009" s="207" t="s">
        <v>1540</v>
      </c>
      <c r="AD1009"/>
      <c r="AE1009" s="206"/>
      <c r="AF1009" s="94"/>
      <c r="AG1009" s="94"/>
      <c r="AH1009" s="94"/>
      <c r="AI1009" s="94"/>
      <c r="AJ1009" s="94"/>
      <c r="AK1009" s="94"/>
      <c r="AL1009" s="94"/>
      <c r="AM1009" s="254"/>
      <c r="AN1009" s="254"/>
      <c r="AO1009" s="94"/>
      <c r="AP1009" s="94"/>
      <c r="AQ1009" s="94"/>
      <c r="AR1009" s="94"/>
      <c r="AS1009" s="207"/>
    </row>
    <row r="1010" spans="13:45" ht="12.75">
      <c r="M1010" s="104"/>
      <c r="O1010" s="206" t="s">
        <v>1806</v>
      </c>
      <c r="P1010" s="94" t="s">
        <v>4204</v>
      </c>
      <c r="Q1010" s="180">
        <v>34825</v>
      </c>
      <c r="R1010" s="258" t="s">
        <v>1540</v>
      </c>
      <c r="S1010" s="259" t="s">
        <v>1540</v>
      </c>
      <c r="T1010" s="213" t="s">
        <v>4994</v>
      </c>
      <c r="U1010" s="213">
        <v>4</v>
      </c>
      <c r="V1010" s="213" t="s">
        <v>3443</v>
      </c>
      <c r="W1010" s="213" t="s">
        <v>3368</v>
      </c>
      <c r="X1010" s="213" t="s">
        <v>1540</v>
      </c>
      <c r="Y1010" s="213" t="s">
        <v>1540</v>
      </c>
      <c r="Z1010" s="213" t="s">
        <v>1540</v>
      </c>
      <c r="AA1010" s="213" t="s">
        <v>1540</v>
      </c>
      <c r="AB1010" s="213" t="s">
        <v>1540</v>
      </c>
      <c r="AC1010" s="207" t="s">
        <v>1540</v>
      </c>
      <c r="AD1010"/>
      <c r="AE1010" s="206"/>
      <c r="AF1010" s="94"/>
      <c r="AG1010" s="94"/>
      <c r="AH1010" s="94"/>
      <c r="AI1010" s="94"/>
      <c r="AJ1010" s="94"/>
      <c r="AK1010" s="94"/>
      <c r="AL1010" s="94"/>
      <c r="AM1010" s="254"/>
      <c r="AN1010" s="254"/>
      <c r="AO1010" s="94"/>
      <c r="AP1010" s="94"/>
      <c r="AQ1010" s="94"/>
      <c r="AR1010" s="94"/>
      <c r="AS1010" s="207"/>
    </row>
    <row r="1011" spans="13:45" ht="12.75">
      <c r="M1011" s="104"/>
      <c r="O1011" s="206" t="s">
        <v>1820</v>
      </c>
      <c r="P1011" s="94" t="s">
        <v>4218</v>
      </c>
      <c r="Q1011" s="180">
        <v>41765</v>
      </c>
      <c r="R1011" s="258" t="s">
        <v>1540</v>
      </c>
      <c r="S1011" s="259" t="s">
        <v>1540</v>
      </c>
      <c r="T1011" s="213" t="s">
        <v>4994</v>
      </c>
      <c r="U1011" s="213">
        <v>4</v>
      </c>
      <c r="V1011" s="213" t="s">
        <v>3443</v>
      </c>
      <c r="W1011" s="213" t="s">
        <v>2016</v>
      </c>
      <c r="X1011" s="213" t="s">
        <v>1540</v>
      </c>
      <c r="Y1011" s="213" t="s">
        <v>1540</v>
      </c>
      <c r="Z1011" s="213" t="s">
        <v>1540</v>
      </c>
      <c r="AA1011" s="213" t="s">
        <v>1540</v>
      </c>
      <c r="AB1011" s="213" t="s">
        <v>1540</v>
      </c>
      <c r="AC1011" s="207" t="s">
        <v>1540</v>
      </c>
      <c r="AD1011"/>
      <c r="AE1011" s="206"/>
      <c r="AF1011" s="94"/>
      <c r="AG1011" s="94"/>
      <c r="AH1011" s="94"/>
      <c r="AI1011" s="94"/>
      <c r="AJ1011" s="94"/>
      <c r="AK1011" s="94"/>
      <c r="AL1011" s="94"/>
      <c r="AM1011" s="254"/>
      <c r="AN1011" s="254"/>
      <c r="AO1011" s="94"/>
      <c r="AP1011" s="94"/>
      <c r="AQ1011" s="94"/>
      <c r="AR1011" s="94"/>
      <c r="AS1011" s="207"/>
    </row>
    <row r="1012" spans="13:45" ht="12.75">
      <c r="M1012" s="104"/>
      <c r="O1012" s="206" t="s">
        <v>1809</v>
      </c>
      <c r="P1012" s="94" t="s">
        <v>4207</v>
      </c>
      <c r="Q1012" s="180">
        <v>34825</v>
      </c>
      <c r="R1012" s="258" t="s">
        <v>1540</v>
      </c>
      <c r="S1012" s="259" t="s">
        <v>1540</v>
      </c>
      <c r="T1012" s="213" t="s">
        <v>4994</v>
      </c>
      <c r="U1012" s="213">
        <v>4</v>
      </c>
      <c r="V1012" s="213" t="s">
        <v>3443</v>
      </c>
      <c r="W1012" s="213" t="s">
        <v>3372</v>
      </c>
      <c r="X1012" s="213" t="s">
        <v>1540</v>
      </c>
      <c r="Y1012" s="213" t="s">
        <v>1540</v>
      </c>
      <c r="Z1012" s="213" t="s">
        <v>1540</v>
      </c>
      <c r="AA1012" s="213" t="s">
        <v>1540</v>
      </c>
      <c r="AB1012" s="213" t="s">
        <v>1540</v>
      </c>
      <c r="AC1012" s="207" t="s">
        <v>1540</v>
      </c>
      <c r="AD1012"/>
      <c r="AE1012" s="206"/>
      <c r="AF1012" s="94"/>
      <c r="AG1012" s="94"/>
      <c r="AH1012" s="94"/>
      <c r="AI1012" s="94"/>
      <c r="AJ1012" s="94"/>
      <c r="AK1012" s="94"/>
      <c r="AL1012" s="94"/>
      <c r="AM1012" s="254"/>
      <c r="AN1012" s="254"/>
      <c r="AO1012" s="94"/>
      <c r="AP1012" s="94"/>
      <c r="AQ1012" s="94"/>
      <c r="AR1012" s="94"/>
      <c r="AS1012" s="207"/>
    </row>
    <row r="1013" spans="13:45" ht="12.75">
      <c r="M1013" s="104"/>
      <c r="O1013" s="206" t="s">
        <v>1811</v>
      </c>
      <c r="P1013" s="94" t="s">
        <v>4209</v>
      </c>
      <c r="Q1013" s="180">
        <v>37968</v>
      </c>
      <c r="R1013" s="258" t="s">
        <v>1540</v>
      </c>
      <c r="S1013" s="259" t="s">
        <v>1540</v>
      </c>
      <c r="T1013" s="213" t="s">
        <v>4994</v>
      </c>
      <c r="U1013" s="213">
        <v>4</v>
      </c>
      <c r="V1013" s="213" t="s">
        <v>3443</v>
      </c>
      <c r="W1013" s="213" t="s">
        <v>3369</v>
      </c>
      <c r="X1013" s="213" t="s">
        <v>1540</v>
      </c>
      <c r="Y1013" s="213" t="s">
        <v>1540</v>
      </c>
      <c r="Z1013" s="213" t="s">
        <v>1540</v>
      </c>
      <c r="AA1013" s="213" t="s">
        <v>1540</v>
      </c>
      <c r="AB1013" s="213" t="s">
        <v>1540</v>
      </c>
      <c r="AC1013" s="207" t="s">
        <v>1540</v>
      </c>
      <c r="AD1013"/>
      <c r="AE1013" s="206"/>
      <c r="AF1013" s="94"/>
      <c r="AG1013" s="94"/>
      <c r="AH1013" s="94"/>
      <c r="AI1013" s="94"/>
      <c r="AJ1013" s="94"/>
      <c r="AK1013" s="94"/>
      <c r="AL1013" s="94"/>
      <c r="AM1013" s="254"/>
      <c r="AN1013" s="254"/>
      <c r="AO1013" s="94"/>
      <c r="AP1013" s="94"/>
      <c r="AQ1013" s="94"/>
      <c r="AR1013" s="94"/>
      <c r="AS1013" s="207"/>
    </row>
    <row r="1014" spans="13:45" ht="12.75">
      <c r="M1014" s="104"/>
      <c r="O1014" s="206" t="s">
        <v>1814</v>
      </c>
      <c r="P1014" s="94" t="s">
        <v>4212</v>
      </c>
      <c r="Q1014" s="180">
        <v>37968</v>
      </c>
      <c r="R1014" s="258" t="s">
        <v>1540</v>
      </c>
      <c r="S1014" s="259" t="s">
        <v>1540</v>
      </c>
      <c r="T1014" s="213" t="s">
        <v>4994</v>
      </c>
      <c r="U1014" s="213">
        <v>4</v>
      </c>
      <c r="V1014" s="213" t="s">
        <v>3443</v>
      </c>
      <c r="W1014" s="213" t="s">
        <v>3373</v>
      </c>
      <c r="X1014" s="213" t="s">
        <v>1540</v>
      </c>
      <c r="Y1014" s="213" t="s">
        <v>1540</v>
      </c>
      <c r="Z1014" s="213" t="s">
        <v>1540</v>
      </c>
      <c r="AA1014" s="213" t="s">
        <v>1540</v>
      </c>
      <c r="AB1014" s="213" t="s">
        <v>1540</v>
      </c>
      <c r="AC1014" s="207" t="s">
        <v>1540</v>
      </c>
      <c r="AD1014"/>
      <c r="AE1014" s="206"/>
      <c r="AF1014" s="94"/>
      <c r="AG1014" s="94"/>
      <c r="AH1014" s="94"/>
      <c r="AI1014" s="94"/>
      <c r="AJ1014" s="94"/>
      <c r="AK1014" s="94"/>
      <c r="AL1014" s="94"/>
      <c r="AM1014" s="254"/>
      <c r="AN1014" s="254"/>
      <c r="AO1014" s="94"/>
      <c r="AP1014" s="94"/>
      <c r="AQ1014" s="94"/>
      <c r="AR1014" s="94"/>
      <c r="AS1014" s="207"/>
    </row>
    <row r="1015" spans="13:45" ht="12.75">
      <c r="M1015" s="104"/>
      <c r="O1015" s="206" t="s">
        <v>1816</v>
      </c>
      <c r="P1015" s="94" t="s">
        <v>4214</v>
      </c>
      <c r="Q1015" s="180">
        <v>31027</v>
      </c>
      <c r="R1015" s="258" t="s">
        <v>1540</v>
      </c>
      <c r="S1015" s="259" t="s">
        <v>1540</v>
      </c>
      <c r="T1015" s="213" t="s">
        <v>4994</v>
      </c>
      <c r="U1015" s="213">
        <v>4</v>
      </c>
      <c r="V1015" s="213" t="s">
        <v>3443</v>
      </c>
      <c r="W1015" s="213" t="s">
        <v>3374</v>
      </c>
      <c r="X1015" s="213" t="s">
        <v>1540</v>
      </c>
      <c r="Y1015" s="213" t="s">
        <v>1540</v>
      </c>
      <c r="Z1015" s="213" t="s">
        <v>1540</v>
      </c>
      <c r="AA1015" s="213" t="s">
        <v>1540</v>
      </c>
      <c r="AB1015" s="213" t="s">
        <v>1540</v>
      </c>
      <c r="AC1015" s="207" t="s">
        <v>1540</v>
      </c>
      <c r="AD1015"/>
      <c r="AE1015" s="206"/>
      <c r="AF1015" s="94"/>
      <c r="AG1015" s="94"/>
      <c r="AH1015" s="94"/>
      <c r="AI1015" s="94"/>
      <c r="AJ1015" s="94"/>
      <c r="AK1015" s="94"/>
      <c r="AL1015" s="94"/>
      <c r="AM1015" s="254"/>
      <c r="AN1015" s="254"/>
      <c r="AO1015" s="94"/>
      <c r="AP1015" s="94"/>
      <c r="AQ1015" s="94"/>
      <c r="AR1015" s="94"/>
      <c r="AS1015" s="207"/>
    </row>
    <row r="1016" spans="13:45" ht="12.75">
      <c r="M1016" s="104"/>
      <c r="O1016" s="206" t="s">
        <v>1818</v>
      </c>
      <c r="P1016" s="94" t="s">
        <v>4216</v>
      </c>
      <c r="Q1016" s="180">
        <v>34825</v>
      </c>
      <c r="R1016" s="258" t="s">
        <v>1540</v>
      </c>
      <c r="S1016" s="259" t="s">
        <v>1540</v>
      </c>
      <c r="T1016" s="213" t="s">
        <v>4994</v>
      </c>
      <c r="U1016" s="213">
        <v>4</v>
      </c>
      <c r="V1016" s="213" t="s">
        <v>3443</v>
      </c>
      <c r="W1016" s="213" t="s">
        <v>3375</v>
      </c>
      <c r="X1016" s="213" t="s">
        <v>1540</v>
      </c>
      <c r="Y1016" s="213" t="s">
        <v>1540</v>
      </c>
      <c r="Z1016" s="213" t="s">
        <v>1540</v>
      </c>
      <c r="AA1016" s="213" t="s">
        <v>1540</v>
      </c>
      <c r="AB1016" s="213" t="s">
        <v>1540</v>
      </c>
      <c r="AC1016" s="207" t="s">
        <v>1540</v>
      </c>
      <c r="AD1016"/>
      <c r="AE1016" s="206"/>
      <c r="AF1016" s="94"/>
      <c r="AG1016" s="94"/>
      <c r="AH1016" s="94"/>
      <c r="AI1016" s="94"/>
      <c r="AJ1016" s="94"/>
      <c r="AK1016" s="94"/>
      <c r="AL1016" s="94"/>
      <c r="AM1016" s="254"/>
      <c r="AN1016" s="254"/>
      <c r="AO1016" s="94"/>
      <c r="AP1016" s="94"/>
      <c r="AQ1016" s="94"/>
      <c r="AR1016" s="94"/>
      <c r="AS1016" s="207"/>
    </row>
    <row r="1017" spans="13:45" ht="12.75">
      <c r="M1017" s="104"/>
      <c r="O1017" s="206" t="s">
        <v>1810</v>
      </c>
      <c r="P1017" s="94" t="s">
        <v>4208</v>
      </c>
      <c r="Q1017" s="180">
        <v>37968</v>
      </c>
      <c r="R1017" s="258" t="s">
        <v>1540</v>
      </c>
      <c r="S1017" s="259" t="s">
        <v>1540</v>
      </c>
      <c r="T1017" s="213" t="s">
        <v>4994</v>
      </c>
      <c r="U1017" s="213">
        <v>4</v>
      </c>
      <c r="V1017" s="213" t="s">
        <v>3443</v>
      </c>
      <c r="W1017" s="213" t="s">
        <v>2017</v>
      </c>
      <c r="X1017" s="213" t="s">
        <v>1540</v>
      </c>
      <c r="Y1017" s="213" t="s">
        <v>1540</v>
      </c>
      <c r="Z1017" s="213" t="s">
        <v>1540</v>
      </c>
      <c r="AA1017" s="213" t="s">
        <v>1540</v>
      </c>
      <c r="AB1017" s="213" t="s">
        <v>1540</v>
      </c>
      <c r="AC1017" s="207" t="s">
        <v>1540</v>
      </c>
      <c r="AD1017"/>
      <c r="AE1017" s="206"/>
      <c r="AF1017" s="94"/>
      <c r="AG1017" s="94"/>
      <c r="AH1017" s="94"/>
      <c r="AI1017" s="94"/>
      <c r="AJ1017" s="94"/>
      <c r="AK1017" s="94"/>
      <c r="AL1017" s="94"/>
      <c r="AM1017" s="254"/>
      <c r="AN1017" s="254"/>
      <c r="AO1017" s="94"/>
      <c r="AP1017" s="94"/>
      <c r="AQ1017" s="94"/>
      <c r="AR1017" s="94"/>
      <c r="AS1017" s="207"/>
    </row>
    <row r="1018" spans="13:45" ht="12.75">
      <c r="M1018" s="104"/>
      <c r="O1018" s="206" t="s">
        <v>1823</v>
      </c>
      <c r="P1018" s="94" t="s">
        <v>4221</v>
      </c>
      <c r="Q1018" s="180">
        <v>50170</v>
      </c>
      <c r="R1018" s="258" t="s">
        <v>1540</v>
      </c>
      <c r="S1018" s="259" t="s">
        <v>1540</v>
      </c>
      <c r="T1018" s="213" t="s">
        <v>4997</v>
      </c>
      <c r="U1018" s="213">
        <v>4</v>
      </c>
      <c r="V1018" s="213" t="s">
        <v>3443</v>
      </c>
      <c r="W1018" s="213" t="s">
        <v>2016</v>
      </c>
      <c r="X1018" s="213" t="s">
        <v>1540</v>
      </c>
      <c r="Y1018" s="213" t="s">
        <v>1540</v>
      </c>
      <c r="Z1018" s="213" t="s">
        <v>1540</v>
      </c>
      <c r="AA1018" s="213" t="s">
        <v>1540</v>
      </c>
      <c r="AB1018" s="213" t="s">
        <v>1540</v>
      </c>
      <c r="AC1018" s="207" t="s">
        <v>1540</v>
      </c>
      <c r="AD1018"/>
      <c r="AE1018" s="206"/>
      <c r="AF1018" s="94"/>
      <c r="AG1018" s="94"/>
      <c r="AH1018" s="94"/>
      <c r="AI1018" s="94"/>
      <c r="AJ1018" s="94"/>
      <c r="AK1018" s="94"/>
      <c r="AL1018" s="94"/>
      <c r="AM1018" s="254"/>
      <c r="AN1018" s="254"/>
      <c r="AO1018" s="94"/>
      <c r="AP1018" s="94"/>
      <c r="AQ1018" s="94"/>
      <c r="AR1018" s="94"/>
      <c r="AS1018" s="207"/>
    </row>
    <row r="1019" spans="13:45" ht="12.75">
      <c r="M1019" s="104"/>
      <c r="O1019" s="206" t="s">
        <v>1826</v>
      </c>
      <c r="P1019" s="94" t="s">
        <v>4224</v>
      </c>
      <c r="Q1019" s="180">
        <v>42046</v>
      </c>
      <c r="R1019" s="258" t="s">
        <v>1540</v>
      </c>
      <c r="S1019" s="259" t="s">
        <v>1540</v>
      </c>
      <c r="T1019" s="213" t="s">
        <v>4997</v>
      </c>
      <c r="U1019" s="213">
        <v>4</v>
      </c>
      <c r="V1019" s="213" t="s">
        <v>3443</v>
      </c>
      <c r="W1019" s="213" t="s">
        <v>3372</v>
      </c>
      <c r="X1019" s="213" t="s">
        <v>1540</v>
      </c>
      <c r="Y1019" s="213" t="s">
        <v>1540</v>
      </c>
      <c r="Z1019" s="213" t="s">
        <v>1540</v>
      </c>
      <c r="AA1019" s="213" t="s">
        <v>1540</v>
      </c>
      <c r="AB1019" s="213" t="s">
        <v>1540</v>
      </c>
      <c r="AC1019" s="207" t="s">
        <v>1540</v>
      </c>
      <c r="AD1019"/>
      <c r="AE1019" s="206"/>
      <c r="AF1019" s="94"/>
      <c r="AG1019" s="94"/>
      <c r="AH1019" s="94"/>
      <c r="AI1019" s="94"/>
      <c r="AJ1019" s="94"/>
      <c r="AK1019" s="94"/>
      <c r="AL1019" s="94"/>
      <c r="AM1019" s="254"/>
      <c r="AN1019" s="254"/>
      <c r="AO1019" s="94"/>
      <c r="AP1019" s="94"/>
      <c r="AQ1019" s="94"/>
      <c r="AR1019" s="94"/>
      <c r="AS1019" s="207"/>
    </row>
    <row r="1020" spans="13:45" ht="12.75">
      <c r="M1020" s="104"/>
      <c r="O1020" s="206" t="s">
        <v>1822</v>
      </c>
      <c r="P1020" s="94" t="s">
        <v>4220</v>
      </c>
      <c r="Q1020" s="180">
        <v>50170</v>
      </c>
      <c r="R1020" s="258" t="s">
        <v>1540</v>
      </c>
      <c r="S1020" s="259" t="s">
        <v>1540</v>
      </c>
      <c r="T1020" s="213" t="s">
        <v>4997</v>
      </c>
      <c r="U1020" s="213">
        <v>4</v>
      </c>
      <c r="V1020" s="213" t="s">
        <v>3443</v>
      </c>
      <c r="W1020" s="213" t="s">
        <v>3370</v>
      </c>
      <c r="X1020" s="213" t="s">
        <v>1540</v>
      </c>
      <c r="Y1020" s="213" t="s">
        <v>1540</v>
      </c>
      <c r="Z1020" s="213" t="s">
        <v>1540</v>
      </c>
      <c r="AA1020" s="213" t="s">
        <v>1540</v>
      </c>
      <c r="AB1020" s="213" t="s">
        <v>1540</v>
      </c>
      <c r="AC1020" s="207" t="s">
        <v>1540</v>
      </c>
      <c r="AD1020"/>
      <c r="AE1020" s="206"/>
      <c r="AF1020" s="94"/>
      <c r="AG1020" s="94"/>
      <c r="AH1020" s="94"/>
      <c r="AI1020" s="94"/>
      <c r="AJ1020" s="94"/>
      <c r="AK1020" s="94"/>
      <c r="AL1020" s="94"/>
      <c r="AM1020" s="254"/>
      <c r="AN1020" s="254"/>
      <c r="AO1020" s="94"/>
      <c r="AP1020" s="94"/>
      <c r="AQ1020" s="94"/>
      <c r="AR1020" s="94"/>
      <c r="AS1020" s="207"/>
    </row>
    <row r="1021" spans="13:45" ht="12.75">
      <c r="M1021" s="104"/>
      <c r="O1021" s="206" t="s">
        <v>1821</v>
      </c>
      <c r="P1021" s="94" t="s">
        <v>4219</v>
      </c>
      <c r="Q1021" s="180">
        <v>46394</v>
      </c>
      <c r="R1021" s="258" t="s">
        <v>1540</v>
      </c>
      <c r="S1021" s="259" t="s">
        <v>1540</v>
      </c>
      <c r="T1021" s="213" t="s">
        <v>4997</v>
      </c>
      <c r="U1021" s="213">
        <v>4</v>
      </c>
      <c r="V1021" s="213" t="s">
        <v>3443</v>
      </c>
      <c r="W1021" s="213" t="s">
        <v>3373</v>
      </c>
      <c r="X1021" s="213" t="s">
        <v>1540</v>
      </c>
      <c r="Y1021" s="213" t="s">
        <v>1540</v>
      </c>
      <c r="Z1021" s="213" t="s">
        <v>1540</v>
      </c>
      <c r="AA1021" s="213" t="s">
        <v>1540</v>
      </c>
      <c r="AB1021" s="213" t="s">
        <v>1540</v>
      </c>
      <c r="AC1021" s="207" t="s">
        <v>1540</v>
      </c>
      <c r="AD1021"/>
      <c r="AE1021" s="206"/>
      <c r="AF1021" s="94"/>
      <c r="AG1021" s="94"/>
      <c r="AH1021" s="94"/>
      <c r="AI1021" s="94"/>
      <c r="AJ1021" s="94"/>
      <c r="AK1021" s="94"/>
      <c r="AL1021" s="94"/>
      <c r="AM1021" s="254"/>
      <c r="AN1021" s="254"/>
      <c r="AO1021" s="94"/>
      <c r="AP1021" s="94"/>
      <c r="AQ1021" s="94"/>
      <c r="AR1021" s="94"/>
      <c r="AS1021" s="207"/>
    </row>
    <row r="1022" spans="13:45" ht="12.75">
      <c r="M1022" s="104"/>
      <c r="O1022" s="206" t="s">
        <v>1835</v>
      </c>
      <c r="P1022" s="94" t="s">
        <v>4233</v>
      </c>
      <c r="Q1022" s="180">
        <v>42046</v>
      </c>
      <c r="R1022" s="258" t="s">
        <v>1540</v>
      </c>
      <c r="S1022" s="259" t="s">
        <v>1540</v>
      </c>
      <c r="T1022" s="213" t="s">
        <v>4997</v>
      </c>
      <c r="U1022" s="213">
        <v>4</v>
      </c>
      <c r="V1022" s="213" t="s">
        <v>3443</v>
      </c>
      <c r="W1022" s="213" t="s">
        <v>3375</v>
      </c>
      <c r="X1022" s="213" t="s">
        <v>1540</v>
      </c>
      <c r="Y1022" s="213" t="s">
        <v>1540</v>
      </c>
      <c r="Z1022" s="213" t="s">
        <v>1540</v>
      </c>
      <c r="AA1022" s="213" t="s">
        <v>1540</v>
      </c>
      <c r="AB1022" s="213" t="s">
        <v>1540</v>
      </c>
      <c r="AC1022" s="207" t="s">
        <v>1540</v>
      </c>
      <c r="AD1022"/>
      <c r="AE1022" s="206"/>
      <c r="AF1022" s="94"/>
      <c r="AG1022" s="94"/>
      <c r="AH1022" s="94"/>
      <c r="AI1022" s="94"/>
      <c r="AJ1022" s="94"/>
      <c r="AK1022" s="94"/>
      <c r="AL1022" s="94"/>
      <c r="AM1022" s="254"/>
      <c r="AN1022" s="254"/>
      <c r="AO1022" s="94"/>
      <c r="AP1022" s="94"/>
      <c r="AQ1022" s="94"/>
      <c r="AR1022" s="94"/>
      <c r="AS1022" s="207"/>
    </row>
    <row r="1023" spans="13:45" ht="12.75">
      <c r="M1023" s="104"/>
      <c r="O1023" s="206" t="s">
        <v>1836</v>
      </c>
      <c r="P1023" s="94" t="s">
        <v>4234</v>
      </c>
      <c r="Q1023" s="180">
        <v>46394</v>
      </c>
      <c r="R1023" s="258" t="s">
        <v>1540</v>
      </c>
      <c r="S1023" s="259" t="s">
        <v>1540</v>
      </c>
      <c r="T1023" s="213" t="s">
        <v>4997</v>
      </c>
      <c r="U1023" s="213">
        <v>4</v>
      </c>
      <c r="V1023" s="213" t="s">
        <v>3443</v>
      </c>
      <c r="W1023" s="213" t="s">
        <v>2017</v>
      </c>
      <c r="X1023" s="213" t="s">
        <v>1540</v>
      </c>
      <c r="Y1023" s="213" t="s">
        <v>1540</v>
      </c>
      <c r="Z1023" s="213" t="s">
        <v>1540</v>
      </c>
      <c r="AA1023" s="213" t="s">
        <v>1540</v>
      </c>
      <c r="AB1023" s="213" t="s">
        <v>1540</v>
      </c>
      <c r="AC1023" s="207" t="s">
        <v>1540</v>
      </c>
      <c r="AD1023"/>
      <c r="AE1023" s="206"/>
      <c r="AF1023" s="94"/>
      <c r="AG1023" s="94"/>
      <c r="AH1023" s="94"/>
      <c r="AI1023" s="94"/>
      <c r="AJ1023" s="94"/>
      <c r="AK1023" s="94"/>
      <c r="AL1023" s="94"/>
      <c r="AM1023" s="254"/>
      <c r="AN1023" s="254"/>
      <c r="AO1023" s="94"/>
      <c r="AP1023" s="94"/>
      <c r="AQ1023" s="94"/>
      <c r="AR1023" s="94"/>
      <c r="AS1023" s="207"/>
    </row>
    <row r="1024" spans="13:45" ht="12.75">
      <c r="M1024" s="104"/>
      <c r="O1024" s="206" t="s">
        <v>4955</v>
      </c>
      <c r="P1024" s="94" t="s">
        <v>4241</v>
      </c>
      <c r="Q1024" s="180">
        <v>32286</v>
      </c>
      <c r="R1024" s="258" t="s">
        <v>1540</v>
      </c>
      <c r="S1024" s="259" t="s">
        <v>1540</v>
      </c>
      <c r="T1024" s="213" t="s">
        <v>4997</v>
      </c>
      <c r="U1024" s="213">
        <v>3</v>
      </c>
      <c r="V1024" s="213" t="s">
        <v>3443</v>
      </c>
      <c r="W1024" s="213" t="s">
        <v>3367</v>
      </c>
      <c r="X1024" s="213" t="s">
        <v>1540</v>
      </c>
      <c r="Y1024" s="213" t="s">
        <v>1540</v>
      </c>
      <c r="Z1024" s="213" t="s">
        <v>1540</v>
      </c>
      <c r="AA1024" s="213" t="s">
        <v>1540</v>
      </c>
      <c r="AB1024" s="213" t="s">
        <v>1540</v>
      </c>
      <c r="AC1024" s="207" t="s">
        <v>1540</v>
      </c>
      <c r="AD1024"/>
      <c r="AE1024" s="206"/>
      <c r="AF1024" s="94"/>
      <c r="AG1024" s="94"/>
      <c r="AH1024" s="94"/>
      <c r="AI1024" s="94"/>
      <c r="AJ1024" s="94"/>
      <c r="AK1024" s="94"/>
      <c r="AL1024" s="94"/>
      <c r="AM1024" s="254"/>
      <c r="AN1024" s="254"/>
      <c r="AO1024" s="94"/>
      <c r="AP1024" s="94"/>
      <c r="AQ1024" s="94"/>
      <c r="AR1024" s="94"/>
      <c r="AS1024" s="207"/>
    </row>
    <row r="1025" spans="13:45" ht="12.75">
      <c r="M1025" s="104"/>
      <c r="O1025" s="206" t="s">
        <v>4954</v>
      </c>
      <c r="P1025" s="94" t="s">
        <v>4240</v>
      </c>
      <c r="Q1025" s="180">
        <v>39409</v>
      </c>
      <c r="R1025" s="258" t="s">
        <v>1540</v>
      </c>
      <c r="S1025" s="259" t="s">
        <v>1540</v>
      </c>
      <c r="T1025" s="213" t="s">
        <v>4997</v>
      </c>
      <c r="U1025" s="213">
        <v>3</v>
      </c>
      <c r="V1025" s="213" t="s">
        <v>3443</v>
      </c>
      <c r="W1025" s="213" t="s">
        <v>2015</v>
      </c>
      <c r="X1025" s="213" t="s">
        <v>1540</v>
      </c>
      <c r="Y1025" s="213" t="s">
        <v>1540</v>
      </c>
      <c r="Z1025" s="213" t="s">
        <v>1540</v>
      </c>
      <c r="AA1025" s="213" t="s">
        <v>1540</v>
      </c>
      <c r="AB1025" s="213" t="s">
        <v>1540</v>
      </c>
      <c r="AC1025" s="207" t="s">
        <v>1540</v>
      </c>
      <c r="AD1025"/>
      <c r="AE1025" s="206"/>
      <c r="AF1025" s="94"/>
      <c r="AG1025" s="94"/>
      <c r="AH1025" s="94"/>
      <c r="AI1025" s="94"/>
      <c r="AJ1025" s="94"/>
      <c r="AK1025" s="94"/>
      <c r="AL1025" s="94"/>
      <c r="AM1025" s="254"/>
      <c r="AN1025" s="254"/>
      <c r="AO1025" s="94"/>
      <c r="AP1025" s="94"/>
      <c r="AQ1025" s="94"/>
      <c r="AR1025" s="94"/>
      <c r="AS1025" s="207"/>
    </row>
    <row r="1026" spans="13:45" ht="12.75">
      <c r="M1026" s="104"/>
      <c r="O1026" s="206" t="s">
        <v>1840</v>
      </c>
      <c r="P1026" s="94" t="s">
        <v>4238</v>
      </c>
      <c r="Q1026" s="180">
        <v>29428</v>
      </c>
      <c r="R1026" s="258" t="s">
        <v>1540</v>
      </c>
      <c r="S1026" s="259" t="s">
        <v>1540</v>
      </c>
      <c r="T1026" s="213" t="s">
        <v>4997</v>
      </c>
      <c r="U1026" s="213">
        <v>3</v>
      </c>
      <c r="V1026" s="213" t="s">
        <v>3443</v>
      </c>
      <c r="W1026" s="213" t="s">
        <v>3371</v>
      </c>
      <c r="X1026" s="213" t="s">
        <v>1540</v>
      </c>
      <c r="Y1026" s="213" t="s">
        <v>1540</v>
      </c>
      <c r="Z1026" s="213" t="s">
        <v>1540</v>
      </c>
      <c r="AA1026" s="213" t="s">
        <v>1540</v>
      </c>
      <c r="AB1026" s="213" t="s">
        <v>1540</v>
      </c>
      <c r="AC1026" s="207" t="s">
        <v>1540</v>
      </c>
      <c r="AD1026"/>
      <c r="AE1026" s="206"/>
      <c r="AF1026" s="94"/>
      <c r="AG1026" s="94"/>
      <c r="AH1026" s="94"/>
      <c r="AI1026" s="94"/>
      <c r="AJ1026" s="94"/>
      <c r="AK1026" s="94"/>
      <c r="AL1026" s="94"/>
      <c r="AM1026" s="254"/>
      <c r="AN1026" s="254"/>
      <c r="AO1026" s="94"/>
      <c r="AP1026" s="94"/>
      <c r="AQ1026" s="94"/>
      <c r="AR1026" s="94"/>
      <c r="AS1026" s="207"/>
    </row>
    <row r="1027" spans="13:45" ht="12.75">
      <c r="M1027" s="104"/>
      <c r="O1027" s="206" t="s">
        <v>1839</v>
      </c>
      <c r="P1027" s="94" t="s">
        <v>4237</v>
      </c>
      <c r="Q1027" s="180">
        <v>32286</v>
      </c>
      <c r="R1027" s="258" t="s">
        <v>1540</v>
      </c>
      <c r="S1027" s="259" t="s">
        <v>1540</v>
      </c>
      <c r="T1027" s="213" t="s">
        <v>4997</v>
      </c>
      <c r="U1027" s="213">
        <v>3</v>
      </c>
      <c r="V1027" s="213" t="s">
        <v>3443</v>
      </c>
      <c r="W1027" s="213" t="s">
        <v>3368</v>
      </c>
      <c r="X1027" s="213" t="s">
        <v>1540</v>
      </c>
      <c r="Y1027" s="213" t="s">
        <v>1540</v>
      </c>
      <c r="Z1027" s="213" t="s">
        <v>1540</v>
      </c>
      <c r="AA1027" s="213" t="s">
        <v>1540</v>
      </c>
      <c r="AB1027" s="213" t="s">
        <v>1540</v>
      </c>
      <c r="AC1027" s="207" t="s">
        <v>1540</v>
      </c>
      <c r="AD1027"/>
      <c r="AE1027" s="206"/>
      <c r="AF1027" s="94"/>
      <c r="AG1027" s="94"/>
      <c r="AH1027" s="94"/>
      <c r="AI1027" s="94"/>
      <c r="AJ1027" s="94"/>
      <c r="AK1027" s="94"/>
      <c r="AL1027" s="94"/>
      <c r="AM1027" s="254"/>
      <c r="AN1027" s="254"/>
      <c r="AO1027" s="94"/>
      <c r="AP1027" s="94"/>
      <c r="AQ1027" s="94"/>
      <c r="AR1027" s="94"/>
      <c r="AS1027" s="207"/>
    </row>
    <row r="1028" spans="13:45" ht="12.75">
      <c r="M1028" s="104"/>
      <c r="O1028" s="206" t="s">
        <v>1830</v>
      </c>
      <c r="P1028" s="94" t="s">
        <v>4228</v>
      </c>
      <c r="Q1028" s="180">
        <v>38368</v>
      </c>
      <c r="R1028" s="258" t="s">
        <v>1540</v>
      </c>
      <c r="S1028" s="259" t="s">
        <v>1540</v>
      </c>
      <c r="T1028" s="213" t="s">
        <v>4997</v>
      </c>
      <c r="U1028" s="213">
        <v>3</v>
      </c>
      <c r="V1028" s="213" t="s">
        <v>3443</v>
      </c>
      <c r="W1028" s="213" t="s">
        <v>2016</v>
      </c>
      <c r="X1028" s="213" t="s">
        <v>1540</v>
      </c>
      <c r="Y1028" s="213" t="s">
        <v>1540</v>
      </c>
      <c r="Z1028" s="213" t="s">
        <v>1540</v>
      </c>
      <c r="AA1028" s="213" t="s">
        <v>1540</v>
      </c>
      <c r="AB1028" s="213" t="s">
        <v>1540</v>
      </c>
      <c r="AC1028" s="207" t="s">
        <v>1540</v>
      </c>
      <c r="AD1028"/>
      <c r="AE1028" s="206"/>
      <c r="AF1028" s="94"/>
      <c r="AG1028" s="94"/>
      <c r="AH1028" s="94"/>
      <c r="AI1028" s="94"/>
      <c r="AJ1028" s="94"/>
      <c r="AK1028" s="94"/>
      <c r="AL1028" s="94"/>
      <c r="AM1028" s="254"/>
      <c r="AN1028" s="254"/>
      <c r="AO1028" s="94"/>
      <c r="AP1028" s="94"/>
      <c r="AQ1028" s="94"/>
      <c r="AR1028" s="94"/>
      <c r="AS1028" s="207"/>
    </row>
    <row r="1029" spans="13:45" ht="12.75">
      <c r="M1029" s="104"/>
      <c r="O1029" s="206" t="s">
        <v>1825</v>
      </c>
      <c r="P1029" s="94" t="s">
        <v>4223</v>
      </c>
      <c r="Q1029" s="180">
        <v>32286</v>
      </c>
      <c r="R1029" s="258" t="s">
        <v>1540</v>
      </c>
      <c r="S1029" s="259" t="s">
        <v>1540</v>
      </c>
      <c r="T1029" s="213" t="s">
        <v>4997</v>
      </c>
      <c r="U1029" s="213">
        <v>3</v>
      </c>
      <c r="V1029" s="213" t="s">
        <v>3443</v>
      </c>
      <c r="W1029" s="213" t="s">
        <v>3372</v>
      </c>
      <c r="X1029" s="213" t="s">
        <v>1540</v>
      </c>
      <c r="Y1029" s="213" t="s">
        <v>1540</v>
      </c>
      <c r="Z1029" s="213" t="s">
        <v>1540</v>
      </c>
      <c r="AA1029" s="213" t="s">
        <v>1540</v>
      </c>
      <c r="AB1029" s="213" t="s">
        <v>1540</v>
      </c>
      <c r="AC1029" s="207" t="s">
        <v>1540</v>
      </c>
      <c r="AD1029"/>
      <c r="AE1029" s="206"/>
      <c r="AF1029" s="94"/>
      <c r="AG1029" s="94"/>
      <c r="AH1029" s="94"/>
      <c r="AI1029" s="94"/>
      <c r="AJ1029" s="94"/>
      <c r="AK1029" s="94"/>
      <c r="AL1029" s="94"/>
      <c r="AM1029" s="254"/>
      <c r="AN1029" s="254"/>
      <c r="AO1029" s="94"/>
      <c r="AP1029" s="94"/>
      <c r="AQ1029" s="94"/>
      <c r="AR1029" s="94"/>
      <c r="AS1029" s="207"/>
    </row>
    <row r="1030" spans="13:45" ht="12.75">
      <c r="M1030" s="104"/>
      <c r="O1030" s="206" t="s">
        <v>1827</v>
      </c>
      <c r="P1030" s="94" t="s">
        <v>4225</v>
      </c>
      <c r="Q1030" s="180">
        <v>39409</v>
      </c>
      <c r="R1030" s="258" t="s">
        <v>1540</v>
      </c>
      <c r="S1030" s="259" t="s">
        <v>1540</v>
      </c>
      <c r="T1030" s="213" t="s">
        <v>4997</v>
      </c>
      <c r="U1030" s="213">
        <v>3</v>
      </c>
      <c r="V1030" s="213" t="s">
        <v>3443</v>
      </c>
      <c r="W1030" s="213" t="s">
        <v>3369</v>
      </c>
      <c r="X1030" s="213" t="s">
        <v>1540</v>
      </c>
      <c r="Y1030" s="213" t="s">
        <v>1540</v>
      </c>
      <c r="Z1030" s="213" t="s">
        <v>1540</v>
      </c>
      <c r="AA1030" s="213" t="s">
        <v>1540</v>
      </c>
      <c r="AB1030" s="213" t="s">
        <v>1540</v>
      </c>
      <c r="AC1030" s="207" t="s">
        <v>1540</v>
      </c>
      <c r="AD1030"/>
      <c r="AE1030" s="206"/>
      <c r="AF1030" s="94"/>
      <c r="AG1030" s="94"/>
      <c r="AH1030" s="94"/>
      <c r="AI1030" s="94"/>
      <c r="AJ1030" s="94"/>
      <c r="AK1030" s="94"/>
      <c r="AL1030" s="94"/>
      <c r="AM1030" s="254"/>
      <c r="AN1030" s="254"/>
      <c r="AO1030" s="94"/>
      <c r="AP1030" s="94"/>
      <c r="AQ1030" s="94"/>
      <c r="AR1030" s="94"/>
      <c r="AS1030" s="207"/>
    </row>
    <row r="1031" spans="13:45" ht="12.75">
      <c r="M1031" s="104"/>
      <c r="O1031" s="206" t="s">
        <v>1829</v>
      </c>
      <c r="P1031" s="94" t="s">
        <v>4227</v>
      </c>
      <c r="Q1031" s="180">
        <v>38368</v>
      </c>
      <c r="R1031" s="258" t="s">
        <v>1540</v>
      </c>
      <c r="S1031" s="259" t="s">
        <v>1540</v>
      </c>
      <c r="T1031" s="213" t="s">
        <v>4997</v>
      </c>
      <c r="U1031" s="213">
        <v>3</v>
      </c>
      <c r="V1031" s="213" t="s">
        <v>3443</v>
      </c>
      <c r="W1031" s="213" t="s">
        <v>3370</v>
      </c>
      <c r="X1031" s="213" t="s">
        <v>1540</v>
      </c>
      <c r="Y1031" s="213" t="s">
        <v>1540</v>
      </c>
      <c r="Z1031" s="213" t="s">
        <v>1540</v>
      </c>
      <c r="AA1031" s="213" t="s">
        <v>1540</v>
      </c>
      <c r="AB1031" s="213" t="s">
        <v>1540</v>
      </c>
      <c r="AC1031" s="207" t="s">
        <v>1540</v>
      </c>
      <c r="AD1031"/>
      <c r="AE1031" s="206"/>
      <c r="AF1031" s="94"/>
      <c r="AG1031" s="94"/>
      <c r="AH1031" s="94"/>
      <c r="AI1031" s="94"/>
      <c r="AJ1031" s="94"/>
      <c r="AK1031" s="94"/>
      <c r="AL1031" s="94"/>
      <c r="AM1031" s="254"/>
      <c r="AN1031" s="254"/>
      <c r="AO1031" s="94"/>
      <c r="AP1031" s="94"/>
      <c r="AQ1031" s="94"/>
      <c r="AR1031" s="94"/>
      <c r="AS1031" s="207"/>
    </row>
    <row r="1032" spans="13:45" ht="12.75">
      <c r="M1032" s="104"/>
      <c r="O1032" s="206" t="s">
        <v>1831</v>
      </c>
      <c r="P1032" s="94" t="s">
        <v>4229</v>
      </c>
      <c r="Q1032" s="180">
        <v>35510</v>
      </c>
      <c r="R1032" s="258" t="s">
        <v>1540</v>
      </c>
      <c r="S1032" s="259" t="s">
        <v>1540</v>
      </c>
      <c r="T1032" s="213" t="s">
        <v>4997</v>
      </c>
      <c r="U1032" s="213">
        <v>3</v>
      </c>
      <c r="V1032" s="213" t="s">
        <v>3443</v>
      </c>
      <c r="W1032" s="213" t="s">
        <v>3373</v>
      </c>
      <c r="X1032" s="213" t="s">
        <v>1540</v>
      </c>
      <c r="Y1032" s="213" t="s">
        <v>1540</v>
      </c>
      <c r="Z1032" s="213" t="s">
        <v>1540</v>
      </c>
      <c r="AA1032" s="213" t="s">
        <v>1540</v>
      </c>
      <c r="AB1032" s="213" t="s">
        <v>1540</v>
      </c>
      <c r="AC1032" s="207" t="s">
        <v>1540</v>
      </c>
      <c r="AD1032"/>
      <c r="AE1032" s="206"/>
      <c r="AF1032" s="94"/>
      <c r="AG1032" s="94"/>
      <c r="AH1032" s="94"/>
      <c r="AI1032" s="94"/>
      <c r="AJ1032" s="94"/>
      <c r="AK1032" s="94"/>
      <c r="AL1032" s="94"/>
      <c r="AM1032" s="254"/>
      <c r="AN1032" s="254"/>
      <c r="AO1032" s="94"/>
      <c r="AP1032" s="94"/>
      <c r="AQ1032" s="94"/>
      <c r="AR1032" s="94"/>
      <c r="AS1032" s="207"/>
    </row>
    <row r="1033" spans="13:45" ht="12.75">
      <c r="M1033" s="104"/>
      <c r="O1033" s="206" t="s">
        <v>1832</v>
      </c>
      <c r="P1033" s="94" t="s">
        <v>4230</v>
      </c>
      <c r="Q1033" s="180">
        <v>29428</v>
      </c>
      <c r="R1033" s="258" t="s">
        <v>1540</v>
      </c>
      <c r="S1033" s="259" t="s">
        <v>1540</v>
      </c>
      <c r="T1033" s="213" t="s">
        <v>4997</v>
      </c>
      <c r="U1033" s="213">
        <v>3</v>
      </c>
      <c r="V1033" s="213" t="s">
        <v>3443</v>
      </c>
      <c r="W1033" s="213" t="s">
        <v>3374</v>
      </c>
      <c r="X1033" s="213" t="s">
        <v>1540</v>
      </c>
      <c r="Y1033" s="213" t="s">
        <v>1540</v>
      </c>
      <c r="Z1033" s="213" t="s">
        <v>1540</v>
      </c>
      <c r="AA1033" s="213" t="s">
        <v>1540</v>
      </c>
      <c r="AB1033" s="213" t="s">
        <v>1540</v>
      </c>
      <c r="AC1033" s="207" t="s">
        <v>1540</v>
      </c>
      <c r="AD1033"/>
      <c r="AE1033" s="206"/>
      <c r="AF1033" s="94"/>
      <c r="AG1033" s="94"/>
      <c r="AH1033" s="94"/>
      <c r="AI1033" s="94"/>
      <c r="AJ1033" s="94"/>
      <c r="AK1033" s="94"/>
      <c r="AL1033" s="94"/>
      <c r="AM1033" s="254"/>
      <c r="AN1033" s="254"/>
      <c r="AO1033" s="94"/>
      <c r="AP1033" s="94"/>
      <c r="AQ1033" s="94"/>
      <c r="AR1033" s="94"/>
      <c r="AS1033" s="207"/>
    </row>
    <row r="1034" spans="13:45" ht="12.75">
      <c r="M1034" s="104"/>
      <c r="O1034" s="206" t="s">
        <v>1833</v>
      </c>
      <c r="P1034" s="94" t="s">
        <v>4231</v>
      </c>
      <c r="Q1034" s="180">
        <v>32286</v>
      </c>
      <c r="R1034" s="258" t="s">
        <v>1540</v>
      </c>
      <c r="S1034" s="259" t="s">
        <v>1540</v>
      </c>
      <c r="T1034" s="213" t="s">
        <v>4997</v>
      </c>
      <c r="U1034" s="213">
        <v>3</v>
      </c>
      <c r="V1034" s="213" t="s">
        <v>3443</v>
      </c>
      <c r="W1034" s="213" t="s">
        <v>3375</v>
      </c>
      <c r="X1034" s="213" t="s">
        <v>1540</v>
      </c>
      <c r="Y1034" s="213" t="s">
        <v>1540</v>
      </c>
      <c r="Z1034" s="213" t="s">
        <v>1540</v>
      </c>
      <c r="AA1034" s="213" t="s">
        <v>1540</v>
      </c>
      <c r="AB1034" s="213" t="s">
        <v>1540</v>
      </c>
      <c r="AC1034" s="207" t="s">
        <v>1540</v>
      </c>
      <c r="AD1034"/>
      <c r="AE1034" s="206"/>
      <c r="AF1034" s="94"/>
      <c r="AG1034" s="94"/>
      <c r="AH1034" s="94"/>
      <c r="AI1034" s="94"/>
      <c r="AJ1034" s="94"/>
      <c r="AK1034" s="94"/>
      <c r="AL1034" s="94"/>
      <c r="AM1034" s="254"/>
      <c r="AN1034" s="254"/>
      <c r="AO1034" s="94"/>
      <c r="AP1034" s="94"/>
      <c r="AQ1034" s="94"/>
      <c r="AR1034" s="94"/>
      <c r="AS1034" s="207"/>
    </row>
    <row r="1035" spans="13:45" ht="12.75">
      <c r="M1035" s="104"/>
      <c r="O1035" s="206" t="s">
        <v>1824</v>
      </c>
      <c r="P1035" s="94" t="s">
        <v>4222</v>
      </c>
      <c r="Q1035" s="180">
        <v>35510</v>
      </c>
      <c r="R1035" s="258" t="s">
        <v>1540</v>
      </c>
      <c r="S1035" s="259" t="s">
        <v>1540</v>
      </c>
      <c r="T1035" s="213" t="s">
        <v>4997</v>
      </c>
      <c r="U1035" s="213">
        <v>3</v>
      </c>
      <c r="V1035" s="213" t="s">
        <v>3443</v>
      </c>
      <c r="W1035" s="213" t="s">
        <v>2017</v>
      </c>
      <c r="X1035" s="213" t="s">
        <v>1540</v>
      </c>
      <c r="Y1035" s="213" t="s">
        <v>1540</v>
      </c>
      <c r="Z1035" s="213" t="s">
        <v>1540</v>
      </c>
      <c r="AA1035" s="213" t="s">
        <v>1540</v>
      </c>
      <c r="AB1035" s="213" t="s">
        <v>1540</v>
      </c>
      <c r="AC1035" s="207" t="s">
        <v>1540</v>
      </c>
      <c r="AD1035"/>
      <c r="AE1035" s="206"/>
      <c r="AF1035" s="94"/>
      <c r="AG1035" s="94"/>
      <c r="AH1035" s="94"/>
      <c r="AI1035" s="94"/>
      <c r="AJ1035" s="94"/>
      <c r="AK1035" s="94"/>
      <c r="AL1035" s="94"/>
      <c r="AM1035" s="254"/>
      <c r="AN1035" s="254"/>
      <c r="AO1035" s="94"/>
      <c r="AP1035" s="94"/>
      <c r="AQ1035" s="94"/>
      <c r="AR1035" s="94"/>
      <c r="AS1035" s="207"/>
    </row>
    <row r="1036" spans="13:45" ht="12.75">
      <c r="M1036" s="104"/>
      <c r="O1036" s="206" t="s">
        <v>4956</v>
      </c>
      <c r="P1036" s="94" t="s">
        <v>4242</v>
      </c>
      <c r="Q1036" s="180">
        <v>42046</v>
      </c>
      <c r="R1036" s="258" t="s">
        <v>1540</v>
      </c>
      <c r="S1036" s="259" t="s">
        <v>1540</v>
      </c>
      <c r="T1036" s="213" t="s">
        <v>4997</v>
      </c>
      <c r="U1036" s="213">
        <v>4</v>
      </c>
      <c r="V1036" s="213" t="s">
        <v>3443</v>
      </c>
      <c r="W1036" s="213" t="s">
        <v>3367</v>
      </c>
      <c r="X1036" s="213" t="s">
        <v>1540</v>
      </c>
      <c r="Y1036" s="213" t="s">
        <v>1540</v>
      </c>
      <c r="Z1036" s="213" t="s">
        <v>1540</v>
      </c>
      <c r="AA1036" s="213" t="s">
        <v>1540</v>
      </c>
      <c r="AB1036" s="213" t="s">
        <v>1540</v>
      </c>
      <c r="AC1036" s="207" t="s">
        <v>1540</v>
      </c>
      <c r="AD1036"/>
      <c r="AE1036" s="206"/>
      <c r="AF1036" s="94"/>
      <c r="AG1036" s="94"/>
      <c r="AH1036" s="94"/>
      <c r="AI1036" s="94"/>
      <c r="AJ1036" s="94"/>
      <c r="AK1036" s="94"/>
      <c r="AL1036" s="94"/>
      <c r="AM1036" s="254"/>
      <c r="AN1036" s="254"/>
      <c r="AO1036" s="94"/>
      <c r="AP1036" s="94"/>
      <c r="AQ1036" s="94"/>
      <c r="AR1036" s="94"/>
      <c r="AS1036" s="207"/>
    </row>
    <row r="1037" spans="13:45" ht="12.75">
      <c r="M1037" s="104"/>
      <c r="O1037" s="206" t="s">
        <v>4953</v>
      </c>
      <c r="P1037" s="94" t="s">
        <v>4239</v>
      </c>
      <c r="Q1037" s="180">
        <v>46394</v>
      </c>
      <c r="R1037" s="258" t="s">
        <v>1540</v>
      </c>
      <c r="S1037" s="259" t="s">
        <v>1540</v>
      </c>
      <c r="T1037" s="213" t="s">
        <v>4997</v>
      </c>
      <c r="U1037" s="213">
        <v>4</v>
      </c>
      <c r="V1037" s="213" t="s">
        <v>3443</v>
      </c>
      <c r="W1037" s="213" t="s">
        <v>2015</v>
      </c>
      <c r="X1037" s="213" t="s">
        <v>1540</v>
      </c>
      <c r="Y1037" s="213" t="s">
        <v>1540</v>
      </c>
      <c r="Z1037" s="213" t="s">
        <v>1540</v>
      </c>
      <c r="AA1037" s="213" t="s">
        <v>1540</v>
      </c>
      <c r="AB1037" s="213" t="s">
        <v>1540</v>
      </c>
      <c r="AC1037" s="207" t="s">
        <v>1540</v>
      </c>
      <c r="AD1037"/>
      <c r="AE1037" s="206"/>
      <c r="AF1037" s="94"/>
      <c r="AG1037" s="94"/>
      <c r="AH1037" s="94"/>
      <c r="AI1037" s="94"/>
      <c r="AJ1037" s="94"/>
      <c r="AK1037" s="94"/>
      <c r="AL1037" s="94"/>
      <c r="AM1037" s="254"/>
      <c r="AN1037" s="254"/>
      <c r="AO1037" s="94"/>
      <c r="AP1037" s="94"/>
      <c r="AQ1037" s="94"/>
      <c r="AR1037" s="94"/>
      <c r="AS1037" s="207"/>
    </row>
    <row r="1038" spans="13:45" ht="12.75">
      <c r="M1038" s="104"/>
      <c r="O1038" s="206" t="s">
        <v>1838</v>
      </c>
      <c r="P1038" s="94" t="s">
        <v>4236</v>
      </c>
      <c r="Q1038" s="180">
        <v>38269</v>
      </c>
      <c r="R1038" s="258" t="s">
        <v>1540</v>
      </c>
      <c r="S1038" s="259" t="s">
        <v>1540</v>
      </c>
      <c r="T1038" s="213" t="s">
        <v>4997</v>
      </c>
      <c r="U1038" s="213">
        <v>4</v>
      </c>
      <c r="V1038" s="213" t="s">
        <v>3443</v>
      </c>
      <c r="W1038" s="213" t="s">
        <v>3371</v>
      </c>
      <c r="X1038" s="213" t="s">
        <v>1540</v>
      </c>
      <c r="Y1038" s="213" t="s">
        <v>1540</v>
      </c>
      <c r="Z1038" s="213" t="s">
        <v>1540</v>
      </c>
      <c r="AA1038" s="213" t="s">
        <v>1540</v>
      </c>
      <c r="AB1038" s="213" t="s">
        <v>1540</v>
      </c>
      <c r="AC1038" s="207" t="s">
        <v>1540</v>
      </c>
      <c r="AD1038"/>
      <c r="AE1038" s="206"/>
      <c r="AF1038" s="94"/>
      <c r="AG1038" s="94"/>
      <c r="AH1038" s="94"/>
      <c r="AI1038" s="94"/>
      <c r="AJ1038" s="94"/>
      <c r="AK1038" s="94"/>
      <c r="AL1038" s="94"/>
      <c r="AM1038" s="254"/>
      <c r="AN1038" s="254"/>
      <c r="AO1038" s="94"/>
      <c r="AP1038" s="94"/>
      <c r="AQ1038" s="94"/>
      <c r="AR1038" s="94"/>
      <c r="AS1038" s="207"/>
    </row>
    <row r="1039" spans="13:45" ht="12.75">
      <c r="M1039" s="104"/>
      <c r="O1039" s="206" t="s">
        <v>1828</v>
      </c>
      <c r="P1039" s="94" t="s">
        <v>4226</v>
      </c>
      <c r="Q1039" s="180">
        <v>42046</v>
      </c>
      <c r="R1039" s="258" t="s">
        <v>1540</v>
      </c>
      <c r="S1039" s="259" t="s">
        <v>1540</v>
      </c>
      <c r="T1039" s="213" t="s">
        <v>4997</v>
      </c>
      <c r="U1039" s="213">
        <v>4</v>
      </c>
      <c r="V1039" s="213" t="s">
        <v>3443</v>
      </c>
      <c r="W1039" s="213" t="s">
        <v>3368</v>
      </c>
      <c r="X1039" s="213" t="s">
        <v>1540</v>
      </c>
      <c r="Y1039" s="213" t="s">
        <v>1540</v>
      </c>
      <c r="Z1039" s="213" t="s">
        <v>1540</v>
      </c>
      <c r="AA1039" s="213" t="s">
        <v>1540</v>
      </c>
      <c r="AB1039" s="213" t="s">
        <v>1540</v>
      </c>
      <c r="AC1039" s="207" t="s">
        <v>1540</v>
      </c>
      <c r="AD1039"/>
      <c r="AE1039" s="206"/>
      <c r="AF1039" s="94"/>
      <c r="AG1039" s="94"/>
      <c r="AH1039" s="94"/>
      <c r="AI1039" s="94"/>
      <c r="AJ1039" s="94"/>
      <c r="AK1039" s="94"/>
      <c r="AL1039" s="94"/>
      <c r="AM1039" s="254"/>
      <c r="AN1039" s="254"/>
      <c r="AO1039" s="94"/>
      <c r="AP1039" s="94"/>
      <c r="AQ1039" s="94"/>
      <c r="AR1039" s="94"/>
      <c r="AS1039" s="207"/>
    </row>
    <row r="1040" spans="13:45" ht="12.75">
      <c r="M1040" s="104"/>
      <c r="O1040" s="206" t="s">
        <v>1837</v>
      </c>
      <c r="P1040" s="94" t="s">
        <v>4235</v>
      </c>
      <c r="Q1040" s="180">
        <v>46394</v>
      </c>
      <c r="R1040" s="258" t="s">
        <v>1540</v>
      </c>
      <c r="S1040" s="259" t="s">
        <v>1540</v>
      </c>
      <c r="T1040" s="213" t="s">
        <v>4997</v>
      </c>
      <c r="U1040" s="213">
        <v>4</v>
      </c>
      <c r="V1040" s="213" t="s">
        <v>3443</v>
      </c>
      <c r="W1040" s="213" t="s">
        <v>3369</v>
      </c>
      <c r="X1040" s="213" t="s">
        <v>1540</v>
      </c>
      <c r="Y1040" s="213" t="s">
        <v>1540</v>
      </c>
      <c r="Z1040" s="213" t="s">
        <v>1540</v>
      </c>
      <c r="AA1040" s="213" t="s">
        <v>1540</v>
      </c>
      <c r="AB1040" s="213" t="s">
        <v>1540</v>
      </c>
      <c r="AC1040" s="207" t="s">
        <v>1540</v>
      </c>
      <c r="AD1040"/>
      <c r="AE1040" s="206"/>
      <c r="AF1040" s="94"/>
      <c r="AG1040" s="94"/>
      <c r="AH1040" s="94"/>
      <c r="AI1040" s="94"/>
      <c r="AJ1040" s="94"/>
      <c r="AK1040" s="94"/>
      <c r="AL1040" s="94"/>
      <c r="AM1040" s="254"/>
      <c r="AN1040" s="254"/>
      <c r="AO1040" s="94"/>
      <c r="AP1040" s="94"/>
      <c r="AQ1040" s="94"/>
      <c r="AR1040" s="94"/>
      <c r="AS1040" s="207"/>
    </row>
    <row r="1041" spans="13:45" ht="12.75">
      <c r="M1041" s="104"/>
      <c r="O1041" s="206" t="s">
        <v>1834</v>
      </c>
      <c r="P1041" s="94" t="s">
        <v>4232</v>
      </c>
      <c r="Q1041" s="180">
        <v>38269</v>
      </c>
      <c r="R1041" s="258" t="s">
        <v>1540</v>
      </c>
      <c r="S1041" s="259" t="s">
        <v>1540</v>
      </c>
      <c r="T1041" s="213" t="s">
        <v>4997</v>
      </c>
      <c r="U1041" s="213">
        <v>4</v>
      </c>
      <c r="V1041" s="213" t="s">
        <v>3443</v>
      </c>
      <c r="W1041" s="213" t="s">
        <v>3374</v>
      </c>
      <c r="X1041" s="213" t="s">
        <v>1540</v>
      </c>
      <c r="Y1041" s="213" t="s">
        <v>1540</v>
      </c>
      <c r="Z1041" s="213" t="s">
        <v>1540</v>
      </c>
      <c r="AA1041" s="213" t="s">
        <v>1540</v>
      </c>
      <c r="AB1041" s="213" t="s">
        <v>1540</v>
      </c>
      <c r="AC1041" s="207" t="s">
        <v>1540</v>
      </c>
      <c r="AD1041"/>
      <c r="AE1041" s="206"/>
      <c r="AF1041" s="94"/>
      <c r="AG1041" s="94"/>
      <c r="AH1041" s="94"/>
      <c r="AI1041" s="94"/>
      <c r="AJ1041" s="94"/>
      <c r="AK1041" s="94"/>
      <c r="AL1041" s="94"/>
      <c r="AM1041" s="254"/>
      <c r="AN1041" s="254"/>
      <c r="AO1041" s="94"/>
      <c r="AP1041" s="94"/>
      <c r="AQ1041" s="94"/>
      <c r="AR1041" s="94"/>
      <c r="AS1041" s="207"/>
    </row>
    <row r="1042" spans="13:45" ht="12.75">
      <c r="M1042" s="104"/>
      <c r="O1042" s="206" t="s">
        <v>4979</v>
      </c>
      <c r="P1042" s="94" t="s">
        <v>4265</v>
      </c>
      <c r="Q1042" s="180">
        <v>61184</v>
      </c>
      <c r="R1042" s="258" t="s">
        <v>1540</v>
      </c>
      <c r="S1042" s="259" t="s">
        <v>1540</v>
      </c>
      <c r="T1042" s="213" t="s">
        <v>5000</v>
      </c>
      <c r="U1042" s="213">
        <v>4</v>
      </c>
      <c r="V1042" s="213" t="s">
        <v>3443</v>
      </c>
      <c r="W1042" s="213" t="s">
        <v>2016</v>
      </c>
      <c r="X1042" s="213" t="s">
        <v>1540</v>
      </c>
      <c r="Y1042" s="213" t="s">
        <v>1540</v>
      </c>
      <c r="Z1042" s="213" t="s">
        <v>1540</v>
      </c>
      <c r="AA1042" s="213" t="s">
        <v>1540</v>
      </c>
      <c r="AB1042" s="213" t="s">
        <v>1540</v>
      </c>
      <c r="AC1042" s="207" t="s">
        <v>1540</v>
      </c>
      <c r="AD1042"/>
      <c r="AE1042" s="206"/>
      <c r="AF1042" s="94"/>
      <c r="AG1042" s="94"/>
      <c r="AH1042" s="94"/>
      <c r="AI1042" s="94"/>
      <c r="AJ1042" s="94"/>
      <c r="AK1042" s="94"/>
      <c r="AL1042" s="94"/>
      <c r="AM1042" s="254"/>
      <c r="AN1042" s="254"/>
      <c r="AO1042" s="94"/>
      <c r="AP1042" s="94"/>
      <c r="AQ1042" s="94"/>
      <c r="AR1042" s="94"/>
      <c r="AS1042" s="207"/>
    </row>
    <row r="1043" spans="13:45" ht="12.75">
      <c r="M1043" s="104"/>
      <c r="O1043" s="206" t="s">
        <v>4959</v>
      </c>
      <c r="P1043" s="94" t="s">
        <v>4245</v>
      </c>
      <c r="Q1043" s="180">
        <v>48772</v>
      </c>
      <c r="R1043" s="258" t="s">
        <v>1540</v>
      </c>
      <c r="S1043" s="259" t="s">
        <v>1540</v>
      </c>
      <c r="T1043" s="213" t="s">
        <v>5000</v>
      </c>
      <c r="U1043" s="213">
        <v>4</v>
      </c>
      <c r="V1043" s="213" t="s">
        <v>3443</v>
      </c>
      <c r="W1043" s="213" t="s">
        <v>3372</v>
      </c>
      <c r="X1043" s="213" t="s">
        <v>1540</v>
      </c>
      <c r="Y1043" s="213" t="s">
        <v>1540</v>
      </c>
      <c r="Z1043" s="213" t="s">
        <v>1540</v>
      </c>
      <c r="AA1043" s="213" t="s">
        <v>1540</v>
      </c>
      <c r="AB1043" s="213" t="s">
        <v>1540</v>
      </c>
      <c r="AC1043" s="207" t="s">
        <v>1540</v>
      </c>
      <c r="AD1043"/>
      <c r="AE1043" s="206"/>
      <c r="AF1043" s="94"/>
      <c r="AG1043" s="94"/>
      <c r="AH1043" s="94"/>
      <c r="AI1043" s="94"/>
      <c r="AJ1043" s="94"/>
      <c r="AK1043" s="94"/>
      <c r="AL1043" s="94"/>
      <c r="AM1043" s="254"/>
      <c r="AN1043" s="254"/>
      <c r="AO1043" s="94"/>
      <c r="AP1043" s="94"/>
      <c r="AQ1043" s="94"/>
      <c r="AR1043" s="94"/>
      <c r="AS1043" s="207"/>
    </row>
    <row r="1044" spans="13:45" ht="12.75">
      <c r="M1044" s="104"/>
      <c r="O1044" s="206" t="s">
        <v>4968</v>
      </c>
      <c r="P1044" s="94" t="s">
        <v>4254</v>
      </c>
      <c r="Q1044" s="180">
        <v>61184</v>
      </c>
      <c r="R1044" s="258" t="s">
        <v>1540</v>
      </c>
      <c r="S1044" s="259" t="s">
        <v>1540</v>
      </c>
      <c r="T1044" s="213" t="s">
        <v>5000</v>
      </c>
      <c r="U1044" s="213">
        <v>4</v>
      </c>
      <c r="V1044" s="213" t="s">
        <v>3443</v>
      </c>
      <c r="W1044" s="213" t="s">
        <v>3370</v>
      </c>
      <c r="X1044" s="213" t="s">
        <v>1540</v>
      </c>
      <c r="Y1044" s="213" t="s">
        <v>1540</v>
      </c>
      <c r="Z1044" s="213" t="s">
        <v>1540</v>
      </c>
      <c r="AA1044" s="213" t="s">
        <v>1540</v>
      </c>
      <c r="AB1044" s="213" t="s">
        <v>1540</v>
      </c>
      <c r="AC1044" s="207" t="s">
        <v>1540</v>
      </c>
      <c r="AD1044"/>
      <c r="AE1044" s="206"/>
      <c r="AF1044" s="94"/>
      <c r="AG1044" s="94"/>
      <c r="AH1044" s="94"/>
      <c r="AI1044" s="94"/>
      <c r="AJ1044" s="94"/>
      <c r="AK1044" s="94"/>
      <c r="AL1044" s="94"/>
      <c r="AM1044" s="254"/>
      <c r="AN1044" s="254"/>
      <c r="AO1044" s="94"/>
      <c r="AP1044" s="94"/>
      <c r="AQ1044" s="94"/>
      <c r="AR1044" s="94"/>
      <c r="AS1044" s="207"/>
    </row>
    <row r="1045" spans="13:45" ht="12.75">
      <c r="M1045" s="104"/>
      <c r="O1045" s="206" t="s">
        <v>4966</v>
      </c>
      <c r="P1045" s="94" t="s">
        <v>4252</v>
      </c>
      <c r="Q1045" s="180">
        <v>51059</v>
      </c>
      <c r="R1045" s="258" t="s">
        <v>1540</v>
      </c>
      <c r="S1045" s="259" t="s">
        <v>1540</v>
      </c>
      <c r="T1045" s="213" t="s">
        <v>5000</v>
      </c>
      <c r="U1045" s="213">
        <v>4</v>
      </c>
      <c r="V1045" s="213" t="s">
        <v>3443</v>
      </c>
      <c r="W1045" s="213" t="s">
        <v>3373</v>
      </c>
      <c r="X1045" s="213" t="s">
        <v>1540</v>
      </c>
      <c r="Y1045" s="213" t="s">
        <v>1540</v>
      </c>
      <c r="Z1045" s="213" t="s">
        <v>1540</v>
      </c>
      <c r="AA1045" s="213" t="s">
        <v>1540</v>
      </c>
      <c r="AB1045" s="213" t="s">
        <v>1540</v>
      </c>
      <c r="AC1045" s="207" t="s">
        <v>1540</v>
      </c>
      <c r="AD1045"/>
      <c r="AE1045" s="206"/>
      <c r="AF1045" s="94"/>
      <c r="AG1045" s="94"/>
      <c r="AH1045" s="94"/>
      <c r="AI1045" s="94"/>
      <c r="AJ1045" s="94"/>
      <c r="AK1045" s="94"/>
      <c r="AL1045" s="94"/>
      <c r="AM1045" s="254"/>
      <c r="AN1045" s="254"/>
      <c r="AO1045" s="94"/>
      <c r="AP1045" s="94"/>
      <c r="AQ1045" s="94"/>
      <c r="AR1045" s="94"/>
      <c r="AS1045" s="207"/>
    </row>
    <row r="1046" spans="13:45" ht="12.75">
      <c r="M1046" s="104"/>
      <c r="O1046" s="206" t="s">
        <v>4962</v>
      </c>
      <c r="P1046" s="94" t="s">
        <v>4248</v>
      </c>
      <c r="Q1046" s="180">
        <v>48772</v>
      </c>
      <c r="R1046" s="258" t="s">
        <v>1540</v>
      </c>
      <c r="S1046" s="259" t="s">
        <v>1540</v>
      </c>
      <c r="T1046" s="213" t="s">
        <v>5000</v>
      </c>
      <c r="U1046" s="213">
        <v>4</v>
      </c>
      <c r="V1046" s="213" t="s">
        <v>3443</v>
      </c>
      <c r="W1046" s="213" t="s">
        <v>3375</v>
      </c>
      <c r="X1046" s="213" t="s">
        <v>1540</v>
      </c>
      <c r="Y1046" s="213" t="s">
        <v>1540</v>
      </c>
      <c r="Z1046" s="213" t="s">
        <v>1540</v>
      </c>
      <c r="AA1046" s="213" t="s">
        <v>1540</v>
      </c>
      <c r="AB1046" s="213" t="s">
        <v>1540</v>
      </c>
      <c r="AC1046" s="207" t="s">
        <v>1540</v>
      </c>
      <c r="AD1046"/>
      <c r="AE1046" s="206"/>
      <c r="AF1046" s="94"/>
      <c r="AG1046" s="94"/>
      <c r="AH1046" s="94"/>
      <c r="AI1046" s="94"/>
      <c r="AJ1046" s="94"/>
      <c r="AK1046" s="94"/>
      <c r="AL1046" s="94"/>
      <c r="AM1046" s="254"/>
      <c r="AN1046" s="254"/>
      <c r="AO1046" s="94"/>
      <c r="AP1046" s="94"/>
      <c r="AQ1046" s="94"/>
      <c r="AR1046" s="94"/>
      <c r="AS1046" s="207"/>
    </row>
    <row r="1047" spans="13:45" ht="12.75">
      <c r="M1047" s="104"/>
      <c r="O1047" s="206" t="s">
        <v>4957</v>
      </c>
      <c r="P1047" s="94" t="s">
        <v>4243</v>
      </c>
      <c r="Q1047" s="180">
        <v>51059</v>
      </c>
      <c r="R1047" s="258" t="s">
        <v>1540</v>
      </c>
      <c r="S1047" s="259" t="s">
        <v>1540</v>
      </c>
      <c r="T1047" s="213" t="s">
        <v>5000</v>
      </c>
      <c r="U1047" s="213">
        <v>4</v>
      </c>
      <c r="V1047" s="213" t="s">
        <v>3443</v>
      </c>
      <c r="W1047" s="213" t="s">
        <v>2017</v>
      </c>
      <c r="X1047" s="213" t="s">
        <v>1540</v>
      </c>
      <c r="Y1047" s="213" t="s">
        <v>1540</v>
      </c>
      <c r="Z1047" s="213" t="s">
        <v>1540</v>
      </c>
      <c r="AA1047" s="213" t="s">
        <v>1540</v>
      </c>
      <c r="AB1047" s="213" t="s">
        <v>1540</v>
      </c>
      <c r="AC1047" s="207" t="s">
        <v>1540</v>
      </c>
      <c r="AD1047"/>
      <c r="AE1047" s="206"/>
      <c r="AF1047" s="94"/>
      <c r="AG1047" s="94"/>
      <c r="AH1047" s="94"/>
      <c r="AI1047" s="94"/>
      <c r="AJ1047" s="94"/>
      <c r="AK1047" s="94"/>
      <c r="AL1047" s="94"/>
      <c r="AM1047" s="254"/>
      <c r="AN1047" s="254"/>
      <c r="AO1047" s="94"/>
      <c r="AP1047" s="94"/>
      <c r="AQ1047" s="94"/>
      <c r="AR1047" s="94"/>
      <c r="AS1047" s="207"/>
    </row>
    <row r="1048" spans="13:45" ht="12.75">
      <c r="M1048" s="104"/>
      <c r="O1048" s="206" t="s">
        <v>4958</v>
      </c>
      <c r="P1048" s="94" t="s">
        <v>4244</v>
      </c>
      <c r="Q1048" s="180">
        <v>42739</v>
      </c>
      <c r="R1048" s="258" t="s">
        <v>1540</v>
      </c>
      <c r="S1048" s="259" t="s">
        <v>1540</v>
      </c>
      <c r="T1048" s="213" t="s">
        <v>5000</v>
      </c>
      <c r="U1048" s="213">
        <v>3</v>
      </c>
      <c r="V1048" s="213" t="s">
        <v>3443</v>
      </c>
      <c r="W1048" s="213" t="s">
        <v>3367</v>
      </c>
      <c r="X1048" s="213" t="s">
        <v>1540</v>
      </c>
      <c r="Y1048" s="213" t="s">
        <v>1540</v>
      </c>
      <c r="Z1048" s="213" t="s">
        <v>1540</v>
      </c>
      <c r="AA1048" s="213" t="s">
        <v>1540</v>
      </c>
      <c r="AB1048" s="213" t="s">
        <v>1540</v>
      </c>
      <c r="AC1048" s="207" t="s">
        <v>1540</v>
      </c>
      <c r="AD1048"/>
      <c r="AE1048" s="206"/>
      <c r="AF1048" s="94"/>
      <c r="AG1048" s="94"/>
      <c r="AH1048" s="94"/>
      <c r="AI1048" s="94"/>
      <c r="AJ1048" s="94"/>
      <c r="AK1048" s="94"/>
      <c r="AL1048" s="94"/>
      <c r="AM1048" s="254"/>
      <c r="AN1048" s="254"/>
      <c r="AO1048" s="94"/>
      <c r="AP1048" s="94"/>
      <c r="AQ1048" s="94"/>
      <c r="AR1048" s="94"/>
      <c r="AS1048" s="207"/>
    </row>
    <row r="1049" spans="13:45" ht="12.75">
      <c r="M1049" s="104"/>
      <c r="O1049" s="206" t="s">
        <v>4973</v>
      </c>
      <c r="P1049" s="94" t="s">
        <v>4259</v>
      </c>
      <c r="Q1049" s="180">
        <v>44475</v>
      </c>
      <c r="R1049" s="258" t="s">
        <v>1540</v>
      </c>
      <c r="S1049" s="259" t="s">
        <v>1540</v>
      </c>
      <c r="T1049" s="213" t="s">
        <v>5000</v>
      </c>
      <c r="U1049" s="213">
        <v>3</v>
      </c>
      <c r="V1049" s="213" t="s">
        <v>3443</v>
      </c>
      <c r="W1049" s="213" t="s">
        <v>2015</v>
      </c>
      <c r="X1049" s="213" t="s">
        <v>1540</v>
      </c>
      <c r="Y1049" s="213" t="s">
        <v>1540</v>
      </c>
      <c r="Z1049" s="213" t="s">
        <v>1540</v>
      </c>
      <c r="AA1049" s="213" t="s">
        <v>1540</v>
      </c>
      <c r="AB1049" s="213" t="s">
        <v>1540</v>
      </c>
      <c r="AC1049" s="207" t="s">
        <v>1540</v>
      </c>
      <c r="AD1049"/>
      <c r="AE1049" s="206"/>
      <c r="AF1049" s="94"/>
      <c r="AG1049" s="94"/>
      <c r="AH1049" s="94"/>
      <c r="AI1049" s="94"/>
      <c r="AJ1049" s="94"/>
      <c r="AK1049" s="94"/>
      <c r="AL1049" s="94"/>
      <c r="AM1049" s="254"/>
      <c r="AN1049" s="254"/>
      <c r="AO1049" s="94"/>
      <c r="AP1049" s="94"/>
      <c r="AQ1049" s="94"/>
      <c r="AR1049" s="94"/>
      <c r="AS1049" s="207"/>
    </row>
    <row r="1050" spans="13:45" ht="12.75">
      <c r="M1050" s="104"/>
      <c r="O1050" s="206" t="s">
        <v>4975</v>
      </c>
      <c r="P1050" s="94" t="s">
        <v>4261</v>
      </c>
      <c r="Q1050" s="180">
        <v>35145</v>
      </c>
      <c r="R1050" s="258" t="s">
        <v>1540</v>
      </c>
      <c r="S1050" s="259" t="s">
        <v>1540</v>
      </c>
      <c r="T1050" s="213" t="s">
        <v>5000</v>
      </c>
      <c r="U1050" s="213">
        <v>3</v>
      </c>
      <c r="V1050" s="213" t="s">
        <v>3443</v>
      </c>
      <c r="W1050" s="213" t="s">
        <v>3371</v>
      </c>
      <c r="X1050" s="213" t="s">
        <v>1540</v>
      </c>
      <c r="Y1050" s="213" t="s">
        <v>1540</v>
      </c>
      <c r="Z1050" s="213" t="s">
        <v>1540</v>
      </c>
      <c r="AA1050" s="213" t="s">
        <v>1540</v>
      </c>
      <c r="AB1050" s="213" t="s">
        <v>1540</v>
      </c>
      <c r="AC1050" s="207" t="s">
        <v>1540</v>
      </c>
      <c r="AD1050"/>
      <c r="AE1050" s="206"/>
      <c r="AF1050" s="94"/>
      <c r="AG1050" s="94"/>
      <c r="AH1050" s="94"/>
      <c r="AI1050" s="94"/>
      <c r="AJ1050" s="94"/>
      <c r="AK1050" s="94"/>
      <c r="AL1050" s="94"/>
      <c r="AM1050" s="254"/>
      <c r="AN1050" s="254"/>
      <c r="AO1050" s="94"/>
      <c r="AP1050" s="94"/>
      <c r="AQ1050" s="94"/>
      <c r="AR1050" s="94"/>
      <c r="AS1050" s="207"/>
    </row>
    <row r="1051" spans="13:45" ht="12.75">
      <c r="M1051" s="104"/>
      <c r="O1051" s="206" t="s">
        <v>4978</v>
      </c>
      <c r="P1051" s="94" t="s">
        <v>4264</v>
      </c>
      <c r="Q1051" s="180">
        <v>42739</v>
      </c>
      <c r="R1051" s="258" t="s">
        <v>1540</v>
      </c>
      <c r="S1051" s="259" t="s">
        <v>1540</v>
      </c>
      <c r="T1051" s="213" t="s">
        <v>5000</v>
      </c>
      <c r="U1051" s="213">
        <v>3</v>
      </c>
      <c r="V1051" s="213" t="s">
        <v>3443</v>
      </c>
      <c r="W1051" s="213" t="s">
        <v>3368</v>
      </c>
      <c r="X1051" s="213" t="s">
        <v>1540</v>
      </c>
      <c r="Y1051" s="213" t="s">
        <v>1540</v>
      </c>
      <c r="Z1051" s="213" t="s">
        <v>1540</v>
      </c>
      <c r="AA1051" s="213" t="s">
        <v>1540</v>
      </c>
      <c r="AB1051" s="213" t="s">
        <v>1540</v>
      </c>
      <c r="AC1051" s="207" t="s">
        <v>1540</v>
      </c>
      <c r="AD1051"/>
      <c r="AE1051" s="206"/>
      <c r="AF1051" s="94"/>
      <c r="AG1051" s="94"/>
      <c r="AH1051" s="94"/>
      <c r="AI1051" s="94"/>
      <c r="AJ1051" s="94"/>
      <c r="AK1051" s="94"/>
      <c r="AL1051" s="94"/>
      <c r="AM1051" s="254"/>
      <c r="AN1051" s="254"/>
      <c r="AO1051" s="94"/>
      <c r="AP1051" s="94"/>
      <c r="AQ1051" s="94"/>
      <c r="AR1051" s="94"/>
      <c r="AS1051" s="207"/>
    </row>
    <row r="1052" spans="13:45" ht="12.75">
      <c r="M1052" s="104"/>
      <c r="O1052" s="206" t="s">
        <v>4980</v>
      </c>
      <c r="P1052" s="94" t="s">
        <v>4266</v>
      </c>
      <c r="Q1052" s="180">
        <v>52043</v>
      </c>
      <c r="R1052" s="258" t="s">
        <v>1540</v>
      </c>
      <c r="S1052" s="259" t="s">
        <v>1540</v>
      </c>
      <c r="T1052" s="213" t="s">
        <v>5000</v>
      </c>
      <c r="U1052" s="213">
        <v>3</v>
      </c>
      <c r="V1052" s="213" t="s">
        <v>3443</v>
      </c>
      <c r="W1052" s="213" t="s">
        <v>2016</v>
      </c>
      <c r="X1052" s="213" t="s">
        <v>1540</v>
      </c>
      <c r="Y1052" s="213" t="s">
        <v>1540</v>
      </c>
      <c r="Z1052" s="213" t="s">
        <v>1540</v>
      </c>
      <c r="AA1052" s="213" t="s">
        <v>1540</v>
      </c>
      <c r="AB1052" s="213" t="s">
        <v>1540</v>
      </c>
      <c r="AC1052" s="207" t="s">
        <v>1540</v>
      </c>
      <c r="AD1052"/>
      <c r="AE1052" s="206"/>
      <c r="AF1052" s="94"/>
      <c r="AG1052" s="94"/>
      <c r="AH1052" s="94"/>
      <c r="AI1052" s="94"/>
      <c r="AJ1052" s="94"/>
      <c r="AK1052" s="94"/>
      <c r="AL1052" s="94"/>
      <c r="AM1052" s="254"/>
      <c r="AN1052" s="254"/>
      <c r="AO1052" s="94"/>
      <c r="AP1052" s="94"/>
      <c r="AQ1052" s="94"/>
      <c r="AR1052" s="94"/>
      <c r="AS1052" s="207"/>
    </row>
    <row r="1053" spans="13:45" ht="12.75">
      <c r="M1053" s="104"/>
      <c r="O1053" s="206" t="s">
        <v>4970</v>
      </c>
      <c r="P1053" s="94" t="s">
        <v>4256</v>
      </c>
      <c r="Q1053" s="180">
        <v>42739</v>
      </c>
      <c r="R1053" s="258" t="s">
        <v>1540</v>
      </c>
      <c r="S1053" s="259" t="s">
        <v>1540</v>
      </c>
      <c r="T1053" s="213" t="s">
        <v>5000</v>
      </c>
      <c r="U1053" s="213">
        <v>3</v>
      </c>
      <c r="V1053" s="213" t="s">
        <v>3443</v>
      </c>
      <c r="W1053" s="213" t="s">
        <v>3372</v>
      </c>
      <c r="X1053" s="213" t="s">
        <v>1540</v>
      </c>
      <c r="Y1053" s="213" t="s">
        <v>1540</v>
      </c>
      <c r="Z1053" s="213" t="s">
        <v>1540</v>
      </c>
      <c r="AA1053" s="213" t="s">
        <v>1540</v>
      </c>
      <c r="AB1053" s="213" t="s">
        <v>1540</v>
      </c>
      <c r="AC1053" s="207" t="s">
        <v>1540</v>
      </c>
      <c r="AD1053"/>
      <c r="AE1053" s="206"/>
      <c r="AF1053" s="94"/>
      <c r="AG1053" s="94"/>
      <c r="AH1053" s="94"/>
      <c r="AI1053" s="94"/>
      <c r="AJ1053" s="94"/>
      <c r="AK1053" s="94"/>
      <c r="AL1053" s="94"/>
      <c r="AM1053" s="254"/>
      <c r="AN1053" s="254"/>
      <c r="AO1053" s="94"/>
      <c r="AP1053" s="94"/>
      <c r="AQ1053" s="94"/>
      <c r="AR1053" s="94"/>
      <c r="AS1053" s="207"/>
    </row>
    <row r="1054" spans="13:45" ht="12.75">
      <c r="M1054" s="104"/>
      <c r="O1054" s="206" t="s">
        <v>4969</v>
      </c>
      <c r="P1054" s="94" t="s">
        <v>4255</v>
      </c>
      <c r="Q1054" s="180">
        <v>44475</v>
      </c>
      <c r="R1054" s="258" t="s">
        <v>1540</v>
      </c>
      <c r="S1054" s="259" t="s">
        <v>1540</v>
      </c>
      <c r="T1054" s="213" t="s">
        <v>5000</v>
      </c>
      <c r="U1054" s="213">
        <v>3</v>
      </c>
      <c r="V1054" s="213" t="s">
        <v>3443</v>
      </c>
      <c r="W1054" s="213" t="s">
        <v>3369</v>
      </c>
      <c r="X1054" s="213" t="s">
        <v>1540</v>
      </c>
      <c r="Y1054" s="213" t="s">
        <v>1540</v>
      </c>
      <c r="Z1054" s="213" t="s">
        <v>1540</v>
      </c>
      <c r="AA1054" s="213" t="s">
        <v>1540</v>
      </c>
      <c r="AB1054" s="213" t="s">
        <v>1540</v>
      </c>
      <c r="AC1054" s="207" t="s">
        <v>1540</v>
      </c>
      <c r="AD1054"/>
      <c r="AE1054" s="206"/>
      <c r="AF1054" s="94"/>
      <c r="AG1054" s="94"/>
      <c r="AH1054" s="94"/>
      <c r="AI1054" s="94"/>
      <c r="AJ1054" s="94"/>
      <c r="AK1054" s="94"/>
      <c r="AL1054" s="94"/>
      <c r="AM1054" s="254"/>
      <c r="AN1054" s="254"/>
      <c r="AO1054" s="94"/>
      <c r="AP1054" s="94"/>
      <c r="AQ1054" s="94"/>
      <c r="AR1054" s="94"/>
      <c r="AS1054" s="207"/>
    </row>
    <row r="1055" spans="13:45" ht="12.75">
      <c r="M1055" s="104"/>
      <c r="O1055" s="206" t="s">
        <v>4967</v>
      </c>
      <c r="P1055" s="94" t="s">
        <v>4253</v>
      </c>
      <c r="Q1055" s="180">
        <v>44475</v>
      </c>
      <c r="R1055" s="258" t="s">
        <v>1540</v>
      </c>
      <c r="S1055" s="259" t="s">
        <v>1540</v>
      </c>
      <c r="T1055" s="213" t="s">
        <v>5000</v>
      </c>
      <c r="U1055" s="213">
        <v>3</v>
      </c>
      <c r="V1055" s="213" t="s">
        <v>3443</v>
      </c>
      <c r="W1055" s="213" t="s">
        <v>3373</v>
      </c>
      <c r="X1055" s="213" t="s">
        <v>1540</v>
      </c>
      <c r="Y1055" s="213" t="s">
        <v>1540</v>
      </c>
      <c r="Z1055" s="213" t="s">
        <v>1540</v>
      </c>
      <c r="AA1055" s="213" t="s">
        <v>1540</v>
      </c>
      <c r="AB1055" s="213" t="s">
        <v>1540</v>
      </c>
      <c r="AC1055" s="207" t="s">
        <v>1540</v>
      </c>
      <c r="AD1055"/>
      <c r="AE1055" s="206"/>
      <c r="AF1055" s="94"/>
      <c r="AG1055" s="94"/>
      <c r="AH1055" s="94"/>
      <c r="AI1055" s="94"/>
      <c r="AJ1055" s="94"/>
      <c r="AK1055" s="94"/>
      <c r="AL1055" s="94"/>
      <c r="AM1055" s="254"/>
      <c r="AN1055" s="254"/>
      <c r="AO1055" s="94"/>
      <c r="AP1055" s="94"/>
      <c r="AQ1055" s="94"/>
      <c r="AR1055" s="94"/>
      <c r="AS1055" s="207"/>
    </row>
    <row r="1056" spans="13:45" ht="12.75">
      <c r="M1056" s="104"/>
      <c r="O1056" s="206" t="s">
        <v>4965</v>
      </c>
      <c r="P1056" s="94" t="s">
        <v>4251</v>
      </c>
      <c r="Q1056" s="180">
        <v>35145</v>
      </c>
      <c r="R1056" s="258" t="s">
        <v>1540</v>
      </c>
      <c r="S1056" s="259" t="s">
        <v>1540</v>
      </c>
      <c r="T1056" s="213" t="s">
        <v>5000</v>
      </c>
      <c r="U1056" s="213">
        <v>3</v>
      </c>
      <c r="V1056" s="213" t="s">
        <v>3443</v>
      </c>
      <c r="W1056" s="213" t="s">
        <v>3374</v>
      </c>
      <c r="X1056" s="213" t="s">
        <v>1540</v>
      </c>
      <c r="Y1056" s="213" t="s">
        <v>1540</v>
      </c>
      <c r="Z1056" s="213" t="s">
        <v>1540</v>
      </c>
      <c r="AA1056" s="213" t="s">
        <v>1540</v>
      </c>
      <c r="AB1056" s="213" t="s">
        <v>1540</v>
      </c>
      <c r="AC1056" s="207" t="s">
        <v>1540</v>
      </c>
      <c r="AD1056"/>
      <c r="AE1056" s="206"/>
      <c r="AF1056" s="94"/>
      <c r="AG1056" s="94"/>
      <c r="AH1056" s="94"/>
      <c r="AI1056" s="94"/>
      <c r="AJ1056" s="94"/>
      <c r="AK1056" s="94"/>
      <c r="AL1056" s="94"/>
      <c r="AM1056" s="254"/>
      <c r="AN1056" s="254"/>
      <c r="AO1056" s="94"/>
      <c r="AP1056" s="94"/>
      <c r="AQ1056" s="94"/>
      <c r="AR1056" s="94"/>
      <c r="AS1056" s="207"/>
    </row>
    <row r="1057" spans="13:45" ht="12.75">
      <c r="M1057" s="104"/>
      <c r="O1057" s="206" t="s">
        <v>4963</v>
      </c>
      <c r="P1057" s="94" t="s">
        <v>4249</v>
      </c>
      <c r="Q1057" s="180">
        <v>42739</v>
      </c>
      <c r="R1057" s="258" t="s">
        <v>1540</v>
      </c>
      <c r="S1057" s="259" t="s">
        <v>1540</v>
      </c>
      <c r="T1057" s="213" t="s">
        <v>5000</v>
      </c>
      <c r="U1057" s="213">
        <v>3</v>
      </c>
      <c r="V1057" s="213" t="s">
        <v>3443</v>
      </c>
      <c r="W1057" s="213" t="s">
        <v>3375</v>
      </c>
      <c r="X1057" s="213" t="s">
        <v>1540</v>
      </c>
      <c r="Y1057" s="213" t="s">
        <v>1540</v>
      </c>
      <c r="Z1057" s="213" t="s">
        <v>1540</v>
      </c>
      <c r="AA1057" s="213" t="s">
        <v>1540</v>
      </c>
      <c r="AB1057" s="213" t="s">
        <v>1540</v>
      </c>
      <c r="AC1057" s="207" t="s">
        <v>1540</v>
      </c>
      <c r="AD1057"/>
      <c r="AE1057" s="206"/>
      <c r="AF1057" s="94"/>
      <c r="AG1057" s="94"/>
      <c r="AH1057" s="94"/>
      <c r="AI1057" s="94"/>
      <c r="AJ1057" s="94"/>
      <c r="AK1057" s="94"/>
      <c r="AL1057" s="94"/>
      <c r="AM1057" s="254"/>
      <c r="AN1057" s="254"/>
      <c r="AO1057" s="94"/>
      <c r="AP1057" s="94"/>
      <c r="AQ1057" s="94"/>
      <c r="AR1057" s="94"/>
      <c r="AS1057" s="207"/>
    </row>
    <row r="1058" spans="13:45" ht="12.75">
      <c r="M1058" s="104"/>
      <c r="O1058" s="206" t="s">
        <v>4961</v>
      </c>
      <c r="P1058" s="94" t="s">
        <v>4247</v>
      </c>
      <c r="Q1058" s="180">
        <v>44475</v>
      </c>
      <c r="R1058" s="258" t="s">
        <v>1540</v>
      </c>
      <c r="S1058" s="259" t="s">
        <v>1540</v>
      </c>
      <c r="T1058" s="213" t="s">
        <v>5000</v>
      </c>
      <c r="U1058" s="213">
        <v>3</v>
      </c>
      <c r="V1058" s="213" t="s">
        <v>3443</v>
      </c>
      <c r="W1058" s="213" t="s">
        <v>2017</v>
      </c>
      <c r="X1058" s="213" t="s">
        <v>1540</v>
      </c>
      <c r="Y1058" s="213" t="s">
        <v>1540</v>
      </c>
      <c r="Z1058" s="213" t="s">
        <v>1540</v>
      </c>
      <c r="AA1058" s="213" t="s">
        <v>1540</v>
      </c>
      <c r="AB1058" s="213" t="s">
        <v>1540</v>
      </c>
      <c r="AC1058" s="207" t="s">
        <v>1540</v>
      </c>
      <c r="AD1058"/>
      <c r="AE1058" s="206"/>
      <c r="AF1058" s="94"/>
      <c r="AG1058" s="94"/>
      <c r="AH1058" s="94"/>
      <c r="AI1058" s="94"/>
      <c r="AJ1058" s="94"/>
      <c r="AK1058" s="94"/>
      <c r="AL1058" s="94"/>
      <c r="AM1058" s="254"/>
      <c r="AN1058" s="254"/>
      <c r="AO1058" s="94"/>
      <c r="AP1058" s="94"/>
      <c r="AQ1058" s="94"/>
      <c r="AR1058" s="94"/>
      <c r="AS1058" s="207"/>
    </row>
    <row r="1059" spans="13:45" ht="12.75">
      <c r="M1059" s="104"/>
      <c r="O1059" s="206" t="s">
        <v>4960</v>
      </c>
      <c r="P1059" s="94" t="s">
        <v>4246</v>
      </c>
      <c r="Q1059" s="180">
        <v>52043</v>
      </c>
      <c r="R1059" s="258" t="s">
        <v>1540</v>
      </c>
      <c r="S1059" s="259" t="s">
        <v>1540</v>
      </c>
      <c r="T1059" s="213" t="s">
        <v>5000</v>
      </c>
      <c r="U1059" s="213">
        <v>3</v>
      </c>
      <c r="V1059" s="213" t="s">
        <v>3443</v>
      </c>
      <c r="W1059" s="213" t="s">
        <v>3370</v>
      </c>
      <c r="X1059" s="213" t="s">
        <v>1540</v>
      </c>
      <c r="Y1059" s="213" t="s">
        <v>1540</v>
      </c>
      <c r="Z1059" s="213" t="s">
        <v>1540</v>
      </c>
      <c r="AA1059" s="213" t="s">
        <v>1540</v>
      </c>
      <c r="AB1059" s="213" t="s">
        <v>1540</v>
      </c>
      <c r="AC1059" s="207" t="s">
        <v>1540</v>
      </c>
      <c r="AD1059"/>
      <c r="AE1059" s="206"/>
      <c r="AF1059" s="94"/>
      <c r="AG1059" s="94"/>
      <c r="AH1059" s="94"/>
      <c r="AI1059" s="94"/>
      <c r="AJ1059" s="94"/>
      <c r="AK1059" s="94"/>
      <c r="AL1059" s="94"/>
      <c r="AM1059" s="254"/>
      <c r="AN1059" s="254"/>
      <c r="AO1059" s="94"/>
      <c r="AP1059" s="94"/>
      <c r="AQ1059" s="94"/>
      <c r="AR1059" s="94"/>
      <c r="AS1059" s="207"/>
    </row>
    <row r="1060" spans="13:45" ht="12.75">
      <c r="M1060" s="104"/>
      <c r="O1060" s="206" t="s">
        <v>4972</v>
      </c>
      <c r="P1060" s="94" t="s">
        <v>4258</v>
      </c>
      <c r="Q1060" s="180">
        <v>48772</v>
      </c>
      <c r="R1060" s="258" t="s">
        <v>1540</v>
      </c>
      <c r="S1060" s="259" t="s">
        <v>1540</v>
      </c>
      <c r="T1060" s="213" t="s">
        <v>5000</v>
      </c>
      <c r="U1060" s="213">
        <v>4</v>
      </c>
      <c r="V1060" s="213" t="s">
        <v>3443</v>
      </c>
      <c r="W1060" s="213" t="s">
        <v>3367</v>
      </c>
      <c r="X1060" s="213" t="s">
        <v>1540</v>
      </c>
      <c r="Y1060" s="213" t="s">
        <v>1540</v>
      </c>
      <c r="Z1060" s="213" t="s">
        <v>1540</v>
      </c>
      <c r="AA1060" s="213" t="s">
        <v>1540</v>
      </c>
      <c r="AB1060" s="213" t="s">
        <v>1540</v>
      </c>
      <c r="AC1060" s="207" t="s">
        <v>1540</v>
      </c>
      <c r="AD1060"/>
      <c r="AE1060" s="206"/>
      <c r="AF1060" s="94"/>
      <c r="AG1060" s="94"/>
      <c r="AH1060" s="94"/>
      <c r="AI1060" s="94"/>
      <c r="AJ1060" s="94"/>
      <c r="AK1060" s="94"/>
      <c r="AL1060" s="94"/>
      <c r="AM1060" s="254"/>
      <c r="AN1060" s="254"/>
      <c r="AO1060" s="94"/>
      <c r="AP1060" s="94"/>
      <c r="AQ1060" s="94"/>
      <c r="AR1060" s="94"/>
      <c r="AS1060" s="207"/>
    </row>
    <row r="1061" spans="13:45" ht="12.75">
      <c r="M1061" s="104"/>
      <c r="O1061" s="206" t="s">
        <v>4974</v>
      </c>
      <c r="P1061" s="94" t="s">
        <v>4260</v>
      </c>
      <c r="Q1061" s="180">
        <v>51059</v>
      </c>
      <c r="R1061" s="258" t="s">
        <v>1540</v>
      </c>
      <c r="S1061" s="259" t="s">
        <v>1540</v>
      </c>
      <c r="T1061" s="213" t="s">
        <v>5000</v>
      </c>
      <c r="U1061" s="213">
        <v>4</v>
      </c>
      <c r="V1061" s="213" t="s">
        <v>3443</v>
      </c>
      <c r="W1061" s="213" t="s">
        <v>2015</v>
      </c>
      <c r="X1061" s="213" t="s">
        <v>1540</v>
      </c>
      <c r="Y1061" s="213" t="s">
        <v>1540</v>
      </c>
      <c r="Z1061" s="213" t="s">
        <v>1540</v>
      </c>
      <c r="AA1061" s="213" t="s">
        <v>1540</v>
      </c>
      <c r="AB1061" s="213" t="s">
        <v>1540</v>
      </c>
      <c r="AC1061" s="207" t="s">
        <v>1540</v>
      </c>
      <c r="AD1061"/>
      <c r="AE1061" s="206"/>
      <c r="AF1061" s="94"/>
      <c r="AG1061" s="94"/>
      <c r="AH1061" s="94"/>
      <c r="AI1061" s="94"/>
      <c r="AJ1061" s="94"/>
      <c r="AK1061" s="94"/>
      <c r="AL1061" s="94"/>
      <c r="AM1061" s="254"/>
      <c r="AN1061" s="254"/>
      <c r="AO1061" s="94"/>
      <c r="AP1061" s="94"/>
      <c r="AQ1061" s="94"/>
      <c r="AR1061" s="94"/>
      <c r="AS1061" s="207"/>
    </row>
    <row r="1062" spans="13:45" ht="12.75">
      <c r="M1062" s="104"/>
      <c r="O1062" s="206" t="s">
        <v>4976</v>
      </c>
      <c r="P1062" s="94" t="s">
        <v>4262</v>
      </c>
      <c r="Q1062" s="180">
        <v>38647</v>
      </c>
      <c r="R1062" s="258" t="s">
        <v>1540</v>
      </c>
      <c r="S1062" s="259" t="s">
        <v>1540</v>
      </c>
      <c r="T1062" s="213" t="s">
        <v>5000</v>
      </c>
      <c r="U1062" s="213">
        <v>4</v>
      </c>
      <c r="V1062" s="213" t="s">
        <v>3443</v>
      </c>
      <c r="W1062" s="213" t="s">
        <v>3371</v>
      </c>
      <c r="X1062" s="213" t="s">
        <v>1540</v>
      </c>
      <c r="Y1062" s="213" t="s">
        <v>1540</v>
      </c>
      <c r="Z1062" s="213" t="s">
        <v>1540</v>
      </c>
      <c r="AA1062" s="213" t="s">
        <v>1540</v>
      </c>
      <c r="AB1062" s="213" t="s">
        <v>1540</v>
      </c>
      <c r="AC1062" s="207" t="s">
        <v>1540</v>
      </c>
      <c r="AD1062"/>
      <c r="AE1062" s="206"/>
      <c r="AF1062" s="94"/>
      <c r="AG1062" s="94"/>
      <c r="AH1062" s="94"/>
      <c r="AI1062" s="94"/>
      <c r="AJ1062" s="94"/>
      <c r="AK1062" s="94"/>
      <c r="AL1062" s="94"/>
      <c r="AM1062" s="254"/>
      <c r="AN1062" s="254"/>
      <c r="AO1062" s="94"/>
      <c r="AP1062" s="94"/>
      <c r="AQ1062" s="94"/>
      <c r="AR1062" s="94"/>
      <c r="AS1062" s="207"/>
    </row>
    <row r="1063" spans="13:45" ht="12.75">
      <c r="M1063" s="104"/>
      <c r="O1063" s="206" t="s">
        <v>4971</v>
      </c>
      <c r="P1063" s="94" t="s">
        <v>4257</v>
      </c>
      <c r="Q1063" s="180">
        <v>48772</v>
      </c>
      <c r="R1063" s="258" t="s">
        <v>1540</v>
      </c>
      <c r="S1063" s="259" t="s">
        <v>1540</v>
      </c>
      <c r="T1063" s="213" t="s">
        <v>5000</v>
      </c>
      <c r="U1063" s="213">
        <v>4</v>
      </c>
      <c r="V1063" s="213" t="s">
        <v>3443</v>
      </c>
      <c r="W1063" s="213" t="s">
        <v>3368</v>
      </c>
      <c r="X1063" s="213" t="s">
        <v>1540</v>
      </c>
      <c r="Y1063" s="213" t="s">
        <v>1540</v>
      </c>
      <c r="Z1063" s="213" t="s">
        <v>1540</v>
      </c>
      <c r="AA1063" s="213" t="s">
        <v>1540</v>
      </c>
      <c r="AB1063" s="213" t="s">
        <v>1540</v>
      </c>
      <c r="AC1063" s="207" t="s">
        <v>1540</v>
      </c>
      <c r="AD1063"/>
      <c r="AE1063" s="206"/>
      <c r="AF1063" s="94"/>
      <c r="AG1063" s="94"/>
      <c r="AH1063" s="94"/>
      <c r="AI1063" s="94"/>
      <c r="AJ1063" s="94"/>
      <c r="AK1063" s="94"/>
      <c r="AL1063" s="94"/>
      <c r="AM1063" s="254"/>
      <c r="AN1063" s="254"/>
      <c r="AO1063" s="94"/>
      <c r="AP1063" s="94"/>
      <c r="AQ1063" s="94"/>
      <c r="AR1063" s="94"/>
      <c r="AS1063" s="207"/>
    </row>
    <row r="1064" spans="13:45" ht="12.75">
      <c r="M1064" s="104"/>
      <c r="O1064" s="206" t="s">
        <v>4977</v>
      </c>
      <c r="P1064" s="94" t="s">
        <v>4263</v>
      </c>
      <c r="Q1064" s="180">
        <v>51059</v>
      </c>
      <c r="R1064" s="258" t="s">
        <v>1540</v>
      </c>
      <c r="S1064" s="259" t="s">
        <v>1540</v>
      </c>
      <c r="T1064" s="213" t="s">
        <v>5000</v>
      </c>
      <c r="U1064" s="213">
        <v>4</v>
      </c>
      <c r="V1064" s="213" t="s">
        <v>3443</v>
      </c>
      <c r="W1064" s="213" t="s">
        <v>3369</v>
      </c>
      <c r="X1064" s="213" t="s">
        <v>1540</v>
      </c>
      <c r="Y1064" s="213" t="s">
        <v>1540</v>
      </c>
      <c r="Z1064" s="213" t="s">
        <v>1540</v>
      </c>
      <c r="AA1064" s="213" t="s">
        <v>1540</v>
      </c>
      <c r="AB1064" s="213" t="s">
        <v>1540</v>
      </c>
      <c r="AC1064" s="207" t="s">
        <v>1540</v>
      </c>
      <c r="AD1064"/>
      <c r="AE1064" s="206"/>
      <c r="AF1064" s="94"/>
      <c r="AG1064" s="94"/>
      <c r="AH1064" s="94"/>
      <c r="AI1064" s="94"/>
      <c r="AJ1064" s="94"/>
      <c r="AK1064" s="94"/>
      <c r="AL1064" s="94"/>
      <c r="AM1064" s="254"/>
      <c r="AN1064" s="254"/>
      <c r="AO1064" s="94"/>
      <c r="AP1064" s="94"/>
      <c r="AQ1064" s="94"/>
      <c r="AR1064" s="94"/>
      <c r="AS1064" s="207"/>
    </row>
    <row r="1065" spans="13:45" ht="12.75">
      <c r="M1065" s="104"/>
      <c r="O1065" s="206" t="s">
        <v>4964</v>
      </c>
      <c r="P1065" s="94" t="s">
        <v>4250</v>
      </c>
      <c r="Q1065" s="180">
        <v>38647</v>
      </c>
      <c r="R1065" s="258" t="s">
        <v>1540</v>
      </c>
      <c r="S1065" s="259" t="s">
        <v>1540</v>
      </c>
      <c r="T1065" s="213" t="s">
        <v>5000</v>
      </c>
      <c r="U1065" s="213">
        <v>4</v>
      </c>
      <c r="V1065" s="213" t="s">
        <v>3443</v>
      </c>
      <c r="W1065" s="213" t="s">
        <v>3374</v>
      </c>
      <c r="X1065" s="213" t="s">
        <v>1540</v>
      </c>
      <c r="Y1065" s="213" t="s">
        <v>1540</v>
      </c>
      <c r="Z1065" s="213" t="s">
        <v>1540</v>
      </c>
      <c r="AA1065" s="213" t="s">
        <v>1540</v>
      </c>
      <c r="AB1065" s="213" t="s">
        <v>1540</v>
      </c>
      <c r="AC1065" s="207" t="s">
        <v>1540</v>
      </c>
      <c r="AD1065"/>
      <c r="AE1065" s="206"/>
      <c r="AF1065" s="94"/>
      <c r="AG1065" s="94"/>
      <c r="AH1065" s="94"/>
      <c r="AI1065" s="94"/>
      <c r="AJ1065" s="94"/>
      <c r="AK1065" s="94"/>
      <c r="AL1065" s="94"/>
      <c r="AM1065" s="254"/>
      <c r="AN1065" s="254"/>
      <c r="AO1065" s="94"/>
      <c r="AP1065" s="94"/>
      <c r="AQ1065" s="94"/>
      <c r="AR1065" s="94"/>
      <c r="AS1065" s="207"/>
    </row>
    <row r="1066" spans="13:45" ht="12.75">
      <c r="M1066" s="104"/>
      <c r="O1066" s="206" t="s">
        <v>4983</v>
      </c>
      <c r="P1066" s="94" t="s">
        <v>4269</v>
      </c>
      <c r="Q1066" s="180">
        <v>95482</v>
      </c>
      <c r="R1066" s="258" t="s">
        <v>1540</v>
      </c>
      <c r="S1066" s="259" t="s">
        <v>1540</v>
      </c>
      <c r="T1066" s="213" t="s">
        <v>5010</v>
      </c>
      <c r="U1066" s="213">
        <v>4</v>
      </c>
      <c r="V1066" s="213" t="s">
        <v>3443</v>
      </c>
      <c r="W1066" s="213" t="s">
        <v>2016</v>
      </c>
      <c r="X1066" s="213" t="s">
        <v>1540</v>
      </c>
      <c r="Y1066" s="213" t="s">
        <v>1540</v>
      </c>
      <c r="Z1066" s="213" t="s">
        <v>1540</v>
      </c>
      <c r="AA1066" s="213" t="s">
        <v>1540</v>
      </c>
      <c r="AB1066" s="213" t="s">
        <v>1540</v>
      </c>
      <c r="AC1066" s="207" t="s">
        <v>1540</v>
      </c>
      <c r="AD1066"/>
      <c r="AE1066" s="206"/>
      <c r="AF1066" s="94"/>
      <c r="AG1066" s="94"/>
      <c r="AH1066" s="94"/>
      <c r="AI1066" s="94"/>
      <c r="AJ1066" s="94"/>
      <c r="AK1066" s="94"/>
      <c r="AL1066" s="94"/>
      <c r="AM1066" s="254"/>
      <c r="AN1066" s="254"/>
      <c r="AO1066" s="94"/>
      <c r="AP1066" s="94"/>
      <c r="AQ1066" s="94"/>
      <c r="AR1066" s="94"/>
      <c r="AS1066" s="207"/>
    </row>
    <row r="1067" spans="13:45" ht="12.75">
      <c r="M1067" s="104"/>
      <c r="O1067" s="206" t="s">
        <v>4985</v>
      </c>
      <c r="P1067" s="94" t="s">
        <v>4271</v>
      </c>
      <c r="Q1067" s="180">
        <v>77663</v>
      </c>
      <c r="R1067" s="258" t="s">
        <v>1540</v>
      </c>
      <c r="S1067" s="259" t="s">
        <v>1540</v>
      </c>
      <c r="T1067" s="213" t="s">
        <v>5010</v>
      </c>
      <c r="U1067" s="213">
        <v>4</v>
      </c>
      <c r="V1067" s="213" t="s">
        <v>3443</v>
      </c>
      <c r="W1067" s="213" t="s">
        <v>3372</v>
      </c>
      <c r="X1067" s="213" t="s">
        <v>1540</v>
      </c>
      <c r="Y1067" s="213" t="s">
        <v>1540</v>
      </c>
      <c r="Z1067" s="213" t="s">
        <v>1540</v>
      </c>
      <c r="AA1067" s="213" t="s">
        <v>1540</v>
      </c>
      <c r="AB1067" s="213" t="s">
        <v>1540</v>
      </c>
      <c r="AC1067" s="207" t="s">
        <v>1540</v>
      </c>
      <c r="AD1067"/>
      <c r="AE1067" s="206"/>
      <c r="AF1067" s="94"/>
      <c r="AG1067" s="94"/>
      <c r="AH1067" s="94"/>
      <c r="AI1067" s="94"/>
      <c r="AJ1067" s="94"/>
      <c r="AK1067" s="94"/>
      <c r="AL1067" s="94"/>
      <c r="AM1067" s="254"/>
      <c r="AN1067" s="254"/>
      <c r="AO1067" s="94"/>
      <c r="AP1067" s="94"/>
      <c r="AQ1067" s="94"/>
      <c r="AR1067" s="94"/>
      <c r="AS1067" s="207"/>
    </row>
    <row r="1068" spans="13:45" ht="12.75">
      <c r="M1068" s="104"/>
      <c r="O1068" s="206" t="s">
        <v>1874</v>
      </c>
      <c r="P1068" s="94" t="s">
        <v>4289</v>
      </c>
      <c r="Q1068" s="180">
        <v>95482</v>
      </c>
      <c r="R1068" s="258" t="s">
        <v>1540</v>
      </c>
      <c r="S1068" s="259" t="s">
        <v>1540</v>
      </c>
      <c r="T1068" s="213" t="s">
        <v>5010</v>
      </c>
      <c r="U1068" s="213">
        <v>4</v>
      </c>
      <c r="V1068" s="213" t="s">
        <v>3443</v>
      </c>
      <c r="W1068" s="213" t="s">
        <v>3370</v>
      </c>
      <c r="X1068" s="213" t="s">
        <v>1540</v>
      </c>
      <c r="Y1068" s="213" t="s">
        <v>1540</v>
      </c>
      <c r="Z1068" s="213" t="s">
        <v>1540</v>
      </c>
      <c r="AA1068" s="213" t="s">
        <v>1540</v>
      </c>
      <c r="AB1068" s="213" t="s">
        <v>1540</v>
      </c>
      <c r="AC1068" s="207" t="s">
        <v>1540</v>
      </c>
      <c r="AD1068"/>
      <c r="AE1068" s="206"/>
      <c r="AF1068" s="94"/>
      <c r="AG1068" s="94"/>
      <c r="AH1068" s="94"/>
      <c r="AI1068" s="94"/>
      <c r="AJ1068" s="94"/>
      <c r="AK1068" s="94"/>
      <c r="AL1068" s="94"/>
      <c r="AM1068" s="254"/>
      <c r="AN1068" s="254"/>
      <c r="AO1068" s="94"/>
      <c r="AP1068" s="94"/>
      <c r="AQ1068" s="94"/>
      <c r="AR1068" s="94"/>
      <c r="AS1068" s="207"/>
    </row>
    <row r="1069" spans="13:45" ht="12.75">
      <c r="M1069" s="104"/>
      <c r="O1069" s="206" t="s">
        <v>1863</v>
      </c>
      <c r="P1069" s="94" t="s">
        <v>4278</v>
      </c>
      <c r="Q1069" s="180">
        <v>65776</v>
      </c>
      <c r="R1069" s="258" t="s">
        <v>1540</v>
      </c>
      <c r="S1069" s="259" t="s">
        <v>1540</v>
      </c>
      <c r="T1069" s="213" t="s">
        <v>5010</v>
      </c>
      <c r="U1069" s="213">
        <v>3</v>
      </c>
      <c r="V1069" s="213" t="s">
        <v>3443</v>
      </c>
      <c r="W1069" s="213" t="s">
        <v>3367</v>
      </c>
      <c r="X1069" s="213" t="s">
        <v>1540</v>
      </c>
      <c r="Y1069" s="213" t="s">
        <v>1540</v>
      </c>
      <c r="Z1069" s="213" t="s">
        <v>1540</v>
      </c>
      <c r="AA1069" s="213" t="s">
        <v>1540</v>
      </c>
      <c r="AB1069" s="213" t="s">
        <v>1540</v>
      </c>
      <c r="AC1069" s="207" t="s">
        <v>1540</v>
      </c>
      <c r="AD1069"/>
      <c r="AE1069" s="206"/>
      <c r="AF1069" s="94"/>
      <c r="AG1069" s="94"/>
      <c r="AH1069" s="94"/>
      <c r="AI1069" s="94"/>
      <c r="AJ1069" s="94"/>
      <c r="AK1069" s="94"/>
      <c r="AL1069" s="94"/>
      <c r="AM1069" s="254"/>
      <c r="AN1069" s="254"/>
      <c r="AO1069" s="94"/>
      <c r="AP1069" s="94"/>
      <c r="AQ1069" s="94"/>
      <c r="AR1069" s="94"/>
      <c r="AS1069" s="207"/>
    </row>
    <row r="1070" spans="13:45" ht="12.75">
      <c r="M1070" s="104"/>
      <c r="O1070" s="206" t="s">
        <v>1862</v>
      </c>
      <c r="P1070" s="94" t="s">
        <v>4277</v>
      </c>
      <c r="Q1070" s="180">
        <v>71514</v>
      </c>
      <c r="R1070" s="258" t="s">
        <v>1540</v>
      </c>
      <c r="S1070" s="259" t="s">
        <v>1540</v>
      </c>
      <c r="T1070" s="213" t="s">
        <v>5010</v>
      </c>
      <c r="U1070" s="213">
        <v>3</v>
      </c>
      <c r="V1070" s="213" t="s">
        <v>3443</v>
      </c>
      <c r="W1070" s="213" t="s">
        <v>2015</v>
      </c>
      <c r="X1070" s="213" t="s">
        <v>1540</v>
      </c>
      <c r="Y1070" s="213" t="s">
        <v>1540</v>
      </c>
      <c r="Z1070" s="213" t="s">
        <v>1540</v>
      </c>
      <c r="AA1070" s="213" t="s">
        <v>1540</v>
      </c>
      <c r="AB1070" s="213" t="s">
        <v>1540</v>
      </c>
      <c r="AC1070" s="207" t="s">
        <v>1540</v>
      </c>
      <c r="AD1070"/>
      <c r="AE1070" s="206"/>
      <c r="AF1070" s="94"/>
      <c r="AG1070" s="94"/>
      <c r="AH1070" s="94"/>
      <c r="AI1070" s="94"/>
      <c r="AJ1070" s="94"/>
      <c r="AK1070" s="94"/>
      <c r="AL1070" s="94"/>
      <c r="AM1070" s="254"/>
      <c r="AN1070" s="254"/>
      <c r="AO1070" s="94"/>
      <c r="AP1070" s="94"/>
      <c r="AQ1070" s="94"/>
      <c r="AR1070" s="94"/>
      <c r="AS1070" s="207"/>
    </row>
    <row r="1071" spans="13:45" ht="12.75">
      <c r="M1071" s="104"/>
      <c r="O1071" s="206" t="s">
        <v>1859</v>
      </c>
      <c r="P1071" s="94" t="s">
        <v>4274</v>
      </c>
      <c r="Q1071" s="180">
        <v>54059</v>
      </c>
      <c r="R1071" s="258" t="s">
        <v>1540</v>
      </c>
      <c r="S1071" s="259" t="s">
        <v>1540</v>
      </c>
      <c r="T1071" s="213" t="s">
        <v>5010</v>
      </c>
      <c r="U1071" s="213">
        <v>3</v>
      </c>
      <c r="V1071" s="213" t="s">
        <v>3443</v>
      </c>
      <c r="W1071" s="213" t="s">
        <v>3371</v>
      </c>
      <c r="X1071" s="213" t="s">
        <v>1540</v>
      </c>
      <c r="Y1071" s="213" t="s">
        <v>1540</v>
      </c>
      <c r="Z1071" s="213" t="s">
        <v>1540</v>
      </c>
      <c r="AA1071" s="213" t="s">
        <v>1540</v>
      </c>
      <c r="AB1071" s="213" t="s">
        <v>1540</v>
      </c>
      <c r="AC1071" s="207" t="s">
        <v>1540</v>
      </c>
      <c r="AD1071"/>
      <c r="AE1071" s="206"/>
      <c r="AF1071" s="94"/>
      <c r="AG1071" s="94"/>
      <c r="AH1071" s="94"/>
      <c r="AI1071" s="94"/>
      <c r="AJ1071" s="94"/>
      <c r="AK1071" s="94"/>
      <c r="AL1071" s="94"/>
      <c r="AM1071" s="254"/>
      <c r="AN1071" s="254"/>
      <c r="AO1071" s="94"/>
      <c r="AP1071" s="94"/>
      <c r="AQ1071" s="94"/>
      <c r="AR1071" s="94"/>
      <c r="AS1071" s="207"/>
    </row>
    <row r="1072" spans="13:45" ht="12.75">
      <c r="M1072" s="104"/>
      <c r="O1072" s="206" t="s">
        <v>1857</v>
      </c>
      <c r="P1072" s="94" t="s">
        <v>4272</v>
      </c>
      <c r="Q1072" s="180">
        <v>65776</v>
      </c>
      <c r="R1072" s="258" t="s">
        <v>1540</v>
      </c>
      <c r="S1072" s="259" t="s">
        <v>1540</v>
      </c>
      <c r="T1072" s="213" t="s">
        <v>5010</v>
      </c>
      <c r="U1072" s="213">
        <v>3</v>
      </c>
      <c r="V1072" s="213" t="s">
        <v>3443</v>
      </c>
      <c r="W1072" s="213" t="s">
        <v>3368</v>
      </c>
      <c r="X1072" s="213" t="s">
        <v>1540</v>
      </c>
      <c r="Y1072" s="213" t="s">
        <v>1540</v>
      </c>
      <c r="Z1072" s="213" t="s">
        <v>1540</v>
      </c>
      <c r="AA1072" s="213" t="s">
        <v>1540</v>
      </c>
      <c r="AB1072" s="213" t="s">
        <v>1540</v>
      </c>
      <c r="AC1072" s="207" t="s">
        <v>1540</v>
      </c>
      <c r="AD1072"/>
      <c r="AE1072" s="206"/>
      <c r="AF1072" s="94"/>
      <c r="AG1072" s="94"/>
      <c r="AH1072" s="94"/>
      <c r="AI1072" s="94"/>
      <c r="AJ1072" s="94"/>
      <c r="AK1072" s="94"/>
      <c r="AL1072" s="94"/>
      <c r="AM1072" s="254"/>
      <c r="AN1072" s="254"/>
      <c r="AO1072" s="94"/>
      <c r="AP1072" s="94"/>
      <c r="AQ1072" s="94"/>
      <c r="AR1072" s="94"/>
      <c r="AS1072" s="207"/>
    </row>
    <row r="1073" spans="13:45" ht="12.75">
      <c r="M1073" s="104"/>
      <c r="O1073" s="206" t="s">
        <v>4982</v>
      </c>
      <c r="P1073" s="94" t="s">
        <v>4268</v>
      </c>
      <c r="Q1073" s="180">
        <v>79207</v>
      </c>
      <c r="R1073" s="258" t="s">
        <v>1540</v>
      </c>
      <c r="S1073" s="259" t="s">
        <v>1540</v>
      </c>
      <c r="T1073" s="213" t="s">
        <v>5010</v>
      </c>
      <c r="U1073" s="213">
        <v>3</v>
      </c>
      <c r="V1073" s="213" t="s">
        <v>3443</v>
      </c>
      <c r="W1073" s="213" t="s">
        <v>2016</v>
      </c>
      <c r="X1073" s="213" t="s">
        <v>1540</v>
      </c>
      <c r="Y1073" s="213" t="s">
        <v>1540</v>
      </c>
      <c r="Z1073" s="213" t="s">
        <v>1540</v>
      </c>
      <c r="AA1073" s="213" t="s">
        <v>1540</v>
      </c>
      <c r="AB1073" s="213" t="s">
        <v>1540</v>
      </c>
      <c r="AC1073" s="207" t="s">
        <v>1540</v>
      </c>
      <c r="AD1073"/>
      <c r="AE1073" s="206"/>
      <c r="AF1073" s="94"/>
      <c r="AG1073" s="94"/>
      <c r="AH1073" s="94"/>
      <c r="AI1073" s="94"/>
      <c r="AJ1073" s="94"/>
      <c r="AK1073" s="94"/>
      <c r="AL1073" s="94"/>
      <c r="AM1073" s="254"/>
      <c r="AN1073" s="254"/>
      <c r="AO1073" s="94"/>
      <c r="AP1073" s="94"/>
      <c r="AQ1073" s="94"/>
      <c r="AR1073" s="94"/>
      <c r="AS1073" s="207"/>
    </row>
    <row r="1074" spans="13:45" ht="12.75">
      <c r="M1074" s="104"/>
      <c r="O1074" s="206" t="s">
        <v>4984</v>
      </c>
      <c r="P1074" s="94" t="s">
        <v>4270</v>
      </c>
      <c r="Q1074" s="180">
        <v>65776</v>
      </c>
      <c r="R1074" s="258" t="s">
        <v>1540</v>
      </c>
      <c r="S1074" s="259" t="s">
        <v>1540</v>
      </c>
      <c r="T1074" s="213" t="s">
        <v>5010</v>
      </c>
      <c r="U1074" s="213">
        <v>3</v>
      </c>
      <c r="V1074" s="213" t="s">
        <v>3443</v>
      </c>
      <c r="W1074" s="213" t="s">
        <v>3372</v>
      </c>
      <c r="X1074" s="213" t="s">
        <v>1540</v>
      </c>
      <c r="Y1074" s="213" t="s">
        <v>1540</v>
      </c>
      <c r="Z1074" s="213" t="s">
        <v>1540</v>
      </c>
      <c r="AA1074" s="213" t="s">
        <v>1540</v>
      </c>
      <c r="AB1074" s="213" t="s">
        <v>1540</v>
      </c>
      <c r="AC1074" s="207" t="s">
        <v>1540</v>
      </c>
      <c r="AD1074"/>
      <c r="AE1074" s="206"/>
      <c r="AF1074" s="94"/>
      <c r="AG1074" s="94"/>
      <c r="AH1074" s="94"/>
      <c r="AI1074" s="94"/>
      <c r="AJ1074" s="94"/>
      <c r="AK1074" s="94"/>
      <c r="AL1074" s="94"/>
      <c r="AM1074" s="254"/>
      <c r="AN1074" s="254"/>
      <c r="AO1074" s="94"/>
      <c r="AP1074" s="94"/>
      <c r="AQ1074" s="94"/>
      <c r="AR1074" s="94"/>
      <c r="AS1074" s="207"/>
    </row>
    <row r="1075" spans="13:45" ht="12.75">
      <c r="M1075" s="104"/>
      <c r="O1075" s="206" t="s">
        <v>1870</v>
      </c>
      <c r="P1075" s="94" t="s">
        <v>4285</v>
      </c>
      <c r="Q1075" s="180">
        <v>79970</v>
      </c>
      <c r="R1075" s="258" t="s">
        <v>1540</v>
      </c>
      <c r="S1075" s="259" t="s">
        <v>1540</v>
      </c>
      <c r="T1075" s="213" t="s">
        <v>5010</v>
      </c>
      <c r="U1075" s="213">
        <v>3</v>
      </c>
      <c r="V1075" s="213" t="s">
        <v>3443</v>
      </c>
      <c r="W1075" s="213" t="s">
        <v>3369</v>
      </c>
      <c r="X1075" s="213" t="s">
        <v>1540</v>
      </c>
      <c r="Y1075" s="213" t="s">
        <v>1540</v>
      </c>
      <c r="Z1075" s="213" t="s">
        <v>1540</v>
      </c>
      <c r="AA1075" s="213" t="s">
        <v>1540</v>
      </c>
      <c r="AB1075" s="213" t="s">
        <v>1540</v>
      </c>
      <c r="AC1075" s="207" t="s">
        <v>1540</v>
      </c>
      <c r="AD1075"/>
      <c r="AE1075" s="206"/>
      <c r="AF1075" s="94"/>
      <c r="AG1075" s="94"/>
      <c r="AH1075" s="94"/>
      <c r="AI1075" s="94"/>
      <c r="AJ1075" s="94"/>
      <c r="AK1075" s="94"/>
      <c r="AL1075" s="94"/>
      <c r="AM1075" s="254"/>
      <c r="AN1075" s="254"/>
      <c r="AO1075" s="94"/>
      <c r="AP1075" s="94"/>
      <c r="AQ1075" s="94"/>
      <c r="AR1075" s="94"/>
      <c r="AS1075" s="207"/>
    </row>
    <row r="1076" spans="13:45" ht="12.75">
      <c r="M1076" s="104"/>
      <c r="O1076" s="206" t="s">
        <v>1872</v>
      </c>
      <c r="P1076" s="94" t="s">
        <v>4287</v>
      </c>
      <c r="Q1076" s="180">
        <v>79207</v>
      </c>
      <c r="R1076" s="258" t="s">
        <v>1540</v>
      </c>
      <c r="S1076" s="259" t="s">
        <v>1540</v>
      </c>
      <c r="T1076" s="213" t="s">
        <v>5010</v>
      </c>
      <c r="U1076" s="213">
        <v>3</v>
      </c>
      <c r="V1076" s="213" t="s">
        <v>3443</v>
      </c>
      <c r="W1076" s="213" t="s">
        <v>3370</v>
      </c>
      <c r="X1076" s="213" t="s">
        <v>1540</v>
      </c>
      <c r="Y1076" s="213" t="s">
        <v>1540</v>
      </c>
      <c r="Z1076" s="213" t="s">
        <v>1540</v>
      </c>
      <c r="AA1076" s="213" t="s">
        <v>1540</v>
      </c>
      <c r="AB1076" s="213" t="s">
        <v>1540</v>
      </c>
      <c r="AC1076" s="207" t="s">
        <v>1540</v>
      </c>
      <c r="AD1076"/>
      <c r="AE1076" s="206"/>
      <c r="AF1076" s="94"/>
      <c r="AG1076" s="94"/>
      <c r="AH1076" s="94"/>
      <c r="AI1076" s="94"/>
      <c r="AJ1076" s="94"/>
      <c r="AK1076" s="94"/>
      <c r="AL1076" s="94"/>
      <c r="AM1076" s="254"/>
      <c r="AN1076" s="254"/>
      <c r="AO1076" s="94"/>
      <c r="AP1076" s="94"/>
      <c r="AQ1076" s="94"/>
      <c r="AR1076" s="94"/>
      <c r="AS1076" s="207"/>
    </row>
    <row r="1077" spans="13:45" ht="12.75">
      <c r="M1077" s="104"/>
      <c r="O1077" s="206" t="s">
        <v>1875</v>
      </c>
      <c r="P1077" s="94" t="s">
        <v>4290</v>
      </c>
      <c r="Q1077" s="180">
        <v>71514</v>
      </c>
      <c r="R1077" s="258" t="s">
        <v>1540</v>
      </c>
      <c r="S1077" s="259" t="s">
        <v>1540</v>
      </c>
      <c r="T1077" s="213" t="s">
        <v>5010</v>
      </c>
      <c r="U1077" s="213">
        <v>3</v>
      </c>
      <c r="V1077" s="213" t="s">
        <v>3443</v>
      </c>
      <c r="W1077" s="213" t="s">
        <v>3373</v>
      </c>
      <c r="X1077" s="213" t="s">
        <v>1540</v>
      </c>
      <c r="Y1077" s="213" t="s">
        <v>1540</v>
      </c>
      <c r="Z1077" s="213" t="s">
        <v>1540</v>
      </c>
      <c r="AA1077" s="213" t="s">
        <v>1540</v>
      </c>
      <c r="AB1077" s="213" t="s">
        <v>1540</v>
      </c>
      <c r="AC1077" s="207" t="s">
        <v>1540</v>
      </c>
      <c r="AD1077"/>
      <c r="AE1077" s="206"/>
      <c r="AF1077" s="94"/>
      <c r="AG1077" s="94"/>
      <c r="AH1077" s="94"/>
      <c r="AI1077" s="94"/>
      <c r="AJ1077" s="94"/>
      <c r="AK1077" s="94"/>
      <c r="AL1077" s="94"/>
      <c r="AM1077" s="254"/>
      <c r="AN1077" s="254"/>
      <c r="AO1077" s="94"/>
      <c r="AP1077" s="94"/>
      <c r="AQ1077" s="94"/>
      <c r="AR1077" s="94"/>
      <c r="AS1077" s="207"/>
    </row>
    <row r="1078" spans="13:45" ht="12.75">
      <c r="M1078" s="104"/>
      <c r="O1078" s="206" t="s">
        <v>1865</v>
      </c>
      <c r="P1078" s="94" t="s">
        <v>4280</v>
      </c>
      <c r="Q1078" s="180">
        <v>54059</v>
      </c>
      <c r="R1078" s="258" t="s">
        <v>1540</v>
      </c>
      <c r="S1078" s="259" t="s">
        <v>1540</v>
      </c>
      <c r="T1078" s="213" t="s">
        <v>5010</v>
      </c>
      <c r="U1078" s="213">
        <v>3</v>
      </c>
      <c r="V1078" s="213" t="s">
        <v>3443</v>
      </c>
      <c r="W1078" s="213" t="s">
        <v>3374</v>
      </c>
      <c r="X1078" s="213" t="s">
        <v>1540</v>
      </c>
      <c r="Y1078" s="213" t="s">
        <v>1540</v>
      </c>
      <c r="Z1078" s="213" t="s">
        <v>1540</v>
      </c>
      <c r="AA1078" s="213" t="s">
        <v>1540</v>
      </c>
      <c r="AB1078" s="213" t="s">
        <v>1540</v>
      </c>
      <c r="AC1078" s="207" t="s">
        <v>1540</v>
      </c>
      <c r="AD1078"/>
      <c r="AE1078" s="206"/>
      <c r="AF1078" s="94"/>
      <c r="AG1078" s="94"/>
      <c r="AH1078" s="94"/>
      <c r="AI1078" s="94"/>
      <c r="AJ1078" s="94"/>
      <c r="AK1078" s="94"/>
      <c r="AL1078" s="94"/>
      <c r="AM1078" s="254"/>
      <c r="AN1078" s="254"/>
      <c r="AO1078" s="94"/>
      <c r="AP1078" s="94"/>
      <c r="AQ1078" s="94"/>
      <c r="AR1078" s="94"/>
      <c r="AS1078" s="207"/>
    </row>
    <row r="1079" spans="13:45" ht="12.75">
      <c r="M1079" s="104"/>
      <c r="O1079" s="206" t="s">
        <v>1869</v>
      </c>
      <c r="P1079" s="94" t="s">
        <v>4284</v>
      </c>
      <c r="Q1079" s="180">
        <v>65776</v>
      </c>
      <c r="R1079" s="258" t="s">
        <v>1540</v>
      </c>
      <c r="S1079" s="259" t="s">
        <v>1540</v>
      </c>
      <c r="T1079" s="213" t="s">
        <v>5010</v>
      </c>
      <c r="U1079" s="213">
        <v>3</v>
      </c>
      <c r="V1079" s="213" t="s">
        <v>3443</v>
      </c>
      <c r="W1079" s="213" t="s">
        <v>3375</v>
      </c>
      <c r="X1079" s="213" t="s">
        <v>1540</v>
      </c>
      <c r="Y1079" s="213" t="s">
        <v>1540</v>
      </c>
      <c r="Z1079" s="213" t="s">
        <v>1540</v>
      </c>
      <c r="AA1079" s="213" t="s">
        <v>1540</v>
      </c>
      <c r="AB1079" s="213" t="s">
        <v>1540</v>
      </c>
      <c r="AC1079" s="207" t="s">
        <v>1540</v>
      </c>
      <c r="AD1079"/>
      <c r="AE1079" s="206"/>
      <c r="AF1079" s="94"/>
      <c r="AG1079" s="94"/>
      <c r="AH1079" s="94"/>
      <c r="AI1079" s="94"/>
      <c r="AJ1079" s="94"/>
      <c r="AK1079" s="94"/>
      <c r="AL1079" s="94"/>
      <c r="AM1079" s="254"/>
      <c r="AN1079" s="254"/>
      <c r="AO1079" s="94"/>
      <c r="AP1079" s="94"/>
      <c r="AQ1079" s="94"/>
      <c r="AR1079" s="94"/>
      <c r="AS1079" s="207"/>
    </row>
    <row r="1080" spans="13:45" ht="12.75">
      <c r="M1080" s="104"/>
      <c r="O1080" s="206" t="s">
        <v>1867</v>
      </c>
      <c r="P1080" s="94" t="s">
        <v>4282</v>
      </c>
      <c r="Q1080" s="180">
        <v>71514</v>
      </c>
      <c r="R1080" s="258" t="s">
        <v>1540</v>
      </c>
      <c r="S1080" s="259" t="s">
        <v>1540</v>
      </c>
      <c r="T1080" s="213" t="s">
        <v>5010</v>
      </c>
      <c r="U1080" s="213">
        <v>3</v>
      </c>
      <c r="V1080" s="213" t="s">
        <v>3443</v>
      </c>
      <c r="W1080" s="213" t="s">
        <v>2017</v>
      </c>
      <c r="X1080" s="213" t="s">
        <v>1540</v>
      </c>
      <c r="Y1080" s="213" t="s">
        <v>1540</v>
      </c>
      <c r="Z1080" s="213" t="s">
        <v>1540</v>
      </c>
      <c r="AA1080" s="213" t="s">
        <v>1540</v>
      </c>
      <c r="AB1080" s="213" t="s">
        <v>1540</v>
      </c>
      <c r="AC1080" s="207" t="s">
        <v>1540</v>
      </c>
      <c r="AD1080"/>
      <c r="AE1080" s="206"/>
      <c r="AF1080" s="94"/>
      <c r="AG1080" s="94"/>
      <c r="AH1080" s="94"/>
      <c r="AI1080" s="94"/>
      <c r="AJ1080" s="94"/>
      <c r="AK1080" s="94"/>
      <c r="AL1080" s="94"/>
      <c r="AM1080" s="254"/>
      <c r="AN1080" s="254"/>
      <c r="AO1080" s="94"/>
      <c r="AP1080" s="94"/>
      <c r="AQ1080" s="94"/>
      <c r="AR1080" s="94"/>
      <c r="AS1080" s="207"/>
    </row>
    <row r="1081" spans="13:45" ht="12.75">
      <c r="M1081" s="104"/>
      <c r="O1081" s="206" t="s">
        <v>1864</v>
      </c>
      <c r="P1081" s="94" t="s">
        <v>4279</v>
      </c>
      <c r="Q1081" s="180">
        <v>77662</v>
      </c>
      <c r="R1081" s="258" t="s">
        <v>1540</v>
      </c>
      <c r="S1081" s="259" t="s">
        <v>1540</v>
      </c>
      <c r="T1081" s="213" t="s">
        <v>5010</v>
      </c>
      <c r="U1081" s="213">
        <v>4</v>
      </c>
      <c r="V1081" s="213" t="s">
        <v>3443</v>
      </c>
      <c r="W1081" s="213" t="s">
        <v>3367</v>
      </c>
      <c r="X1081" s="213" t="s">
        <v>1540</v>
      </c>
      <c r="Y1081" s="213" t="s">
        <v>1540</v>
      </c>
      <c r="Z1081" s="213" t="s">
        <v>1540</v>
      </c>
      <c r="AA1081" s="213" t="s">
        <v>1540</v>
      </c>
      <c r="AB1081" s="213" t="s">
        <v>1540</v>
      </c>
      <c r="AC1081" s="207" t="s">
        <v>1540</v>
      </c>
      <c r="AD1081"/>
      <c r="AE1081" s="206"/>
      <c r="AF1081" s="94"/>
      <c r="AG1081" s="94"/>
      <c r="AH1081" s="94"/>
      <c r="AI1081" s="94"/>
      <c r="AJ1081" s="94"/>
      <c r="AK1081" s="94"/>
      <c r="AL1081" s="94"/>
      <c r="AM1081" s="254"/>
      <c r="AN1081" s="254"/>
      <c r="AO1081" s="94"/>
      <c r="AP1081" s="94"/>
      <c r="AQ1081" s="94"/>
      <c r="AR1081" s="94"/>
      <c r="AS1081" s="207"/>
    </row>
    <row r="1082" spans="13:45" ht="12.75">
      <c r="M1082" s="104"/>
      <c r="O1082" s="206" t="s">
        <v>1861</v>
      </c>
      <c r="P1082" s="94" t="s">
        <v>4276</v>
      </c>
      <c r="Q1082" s="180">
        <v>79970</v>
      </c>
      <c r="R1082" s="258" t="s">
        <v>1540</v>
      </c>
      <c r="S1082" s="259" t="s">
        <v>1540</v>
      </c>
      <c r="T1082" s="213" t="s">
        <v>5010</v>
      </c>
      <c r="U1082" s="213">
        <v>4</v>
      </c>
      <c r="V1082" s="213" t="s">
        <v>3443</v>
      </c>
      <c r="W1082" s="213" t="s">
        <v>2015</v>
      </c>
      <c r="X1082" s="213" t="s">
        <v>1540</v>
      </c>
      <c r="Y1082" s="213" t="s">
        <v>1540</v>
      </c>
      <c r="Z1082" s="213" t="s">
        <v>1540</v>
      </c>
      <c r="AA1082" s="213" t="s">
        <v>1540</v>
      </c>
      <c r="AB1082" s="213" t="s">
        <v>1540</v>
      </c>
      <c r="AC1082" s="207" t="s">
        <v>1540</v>
      </c>
      <c r="AD1082"/>
      <c r="AE1082" s="206"/>
      <c r="AF1082" s="94"/>
      <c r="AG1082" s="94"/>
      <c r="AH1082" s="94"/>
      <c r="AI1082" s="94"/>
      <c r="AJ1082" s="94"/>
      <c r="AK1082" s="94"/>
      <c r="AL1082" s="94"/>
      <c r="AM1082" s="254"/>
      <c r="AN1082" s="254"/>
      <c r="AO1082" s="94"/>
      <c r="AP1082" s="94"/>
      <c r="AQ1082" s="94"/>
      <c r="AR1082" s="94"/>
      <c r="AS1082" s="207"/>
    </row>
    <row r="1083" spans="13:45" ht="12.75">
      <c r="M1083" s="104"/>
      <c r="O1083" s="206" t="s">
        <v>1858</v>
      </c>
      <c r="P1083" s="94" t="s">
        <v>4273</v>
      </c>
      <c r="Q1083" s="180">
        <v>62108</v>
      </c>
      <c r="R1083" s="258" t="s">
        <v>1540</v>
      </c>
      <c r="S1083" s="259" t="s">
        <v>1540</v>
      </c>
      <c r="T1083" s="213" t="s">
        <v>5010</v>
      </c>
      <c r="U1083" s="213">
        <v>4</v>
      </c>
      <c r="V1083" s="213" t="s">
        <v>3443</v>
      </c>
      <c r="W1083" s="213" t="s">
        <v>3371</v>
      </c>
      <c r="X1083" s="213" t="s">
        <v>1540</v>
      </c>
      <c r="Y1083" s="213" t="s">
        <v>1540</v>
      </c>
      <c r="Z1083" s="213" t="s">
        <v>1540</v>
      </c>
      <c r="AA1083" s="213" t="s">
        <v>1540</v>
      </c>
      <c r="AB1083" s="213" t="s">
        <v>1540</v>
      </c>
      <c r="AC1083" s="207" t="s">
        <v>1540</v>
      </c>
      <c r="AD1083"/>
      <c r="AE1083" s="206"/>
      <c r="AF1083" s="94"/>
      <c r="AG1083" s="94"/>
      <c r="AH1083" s="94"/>
      <c r="AI1083" s="94"/>
      <c r="AJ1083" s="94"/>
      <c r="AK1083" s="94"/>
      <c r="AL1083" s="94"/>
      <c r="AM1083" s="254"/>
      <c r="AN1083" s="254"/>
      <c r="AO1083" s="94"/>
      <c r="AP1083" s="94"/>
      <c r="AQ1083" s="94"/>
      <c r="AR1083" s="94"/>
      <c r="AS1083" s="207"/>
    </row>
    <row r="1084" spans="13:45" ht="12.75">
      <c r="M1084" s="104"/>
      <c r="O1084" s="206" t="s">
        <v>4981</v>
      </c>
      <c r="P1084" s="94" t="s">
        <v>4267</v>
      </c>
      <c r="Q1084" s="180">
        <v>77663</v>
      </c>
      <c r="R1084" s="258" t="s">
        <v>1540</v>
      </c>
      <c r="S1084" s="259" t="s">
        <v>1540</v>
      </c>
      <c r="T1084" s="213" t="s">
        <v>5010</v>
      </c>
      <c r="U1084" s="213">
        <v>4</v>
      </c>
      <c r="V1084" s="213" t="s">
        <v>3443</v>
      </c>
      <c r="W1084" s="213" t="s">
        <v>3368</v>
      </c>
      <c r="X1084" s="213" t="s">
        <v>1540</v>
      </c>
      <c r="Y1084" s="213" t="s">
        <v>1540</v>
      </c>
      <c r="Z1084" s="213" t="s">
        <v>1540</v>
      </c>
      <c r="AA1084" s="213" t="s">
        <v>1540</v>
      </c>
      <c r="AB1084" s="213" t="s">
        <v>1540</v>
      </c>
      <c r="AC1084" s="207" t="s">
        <v>1540</v>
      </c>
      <c r="AD1084"/>
      <c r="AE1084" s="206"/>
      <c r="AF1084" s="94"/>
      <c r="AG1084" s="94"/>
      <c r="AH1084" s="94"/>
      <c r="AI1084" s="94"/>
      <c r="AJ1084" s="94"/>
      <c r="AK1084" s="94"/>
      <c r="AL1084" s="94"/>
      <c r="AM1084" s="254"/>
      <c r="AN1084" s="254"/>
      <c r="AO1084" s="94"/>
      <c r="AP1084" s="94"/>
      <c r="AQ1084" s="94"/>
      <c r="AR1084" s="94"/>
      <c r="AS1084" s="207"/>
    </row>
    <row r="1085" spans="13:45" ht="12.75">
      <c r="M1085" s="104"/>
      <c r="O1085" s="206" t="s">
        <v>1860</v>
      </c>
      <c r="P1085" s="94" t="s">
        <v>4275</v>
      </c>
      <c r="Q1085" s="180">
        <v>71514</v>
      </c>
      <c r="R1085" s="258" t="s">
        <v>1540</v>
      </c>
      <c r="S1085" s="259" t="s">
        <v>1540</v>
      </c>
      <c r="T1085" s="213" t="s">
        <v>5010</v>
      </c>
      <c r="U1085" s="213">
        <v>4</v>
      </c>
      <c r="V1085" s="213" t="s">
        <v>3443</v>
      </c>
      <c r="W1085" s="213" t="s">
        <v>3369</v>
      </c>
      <c r="X1085" s="213" t="s">
        <v>1540</v>
      </c>
      <c r="Y1085" s="213" t="s">
        <v>1540</v>
      </c>
      <c r="Z1085" s="213" t="s">
        <v>1540</v>
      </c>
      <c r="AA1085" s="213" t="s">
        <v>1540</v>
      </c>
      <c r="AB1085" s="213" t="s">
        <v>1540</v>
      </c>
      <c r="AC1085" s="207" t="s">
        <v>1540</v>
      </c>
      <c r="AD1085"/>
      <c r="AE1085" s="206"/>
      <c r="AF1085" s="94"/>
      <c r="AG1085" s="94"/>
      <c r="AH1085" s="94"/>
      <c r="AI1085" s="94"/>
      <c r="AJ1085" s="94"/>
      <c r="AK1085" s="94"/>
      <c r="AL1085" s="94"/>
      <c r="AM1085" s="254"/>
      <c r="AN1085" s="254"/>
      <c r="AO1085" s="94"/>
      <c r="AP1085" s="94"/>
      <c r="AQ1085" s="94"/>
      <c r="AR1085" s="94"/>
      <c r="AS1085" s="207"/>
    </row>
    <row r="1086" spans="13:45" ht="12.75">
      <c r="M1086" s="104"/>
      <c r="O1086" s="206" t="s">
        <v>1871</v>
      </c>
      <c r="P1086" s="94" t="s">
        <v>4286</v>
      </c>
      <c r="Q1086" s="180">
        <v>79970</v>
      </c>
      <c r="R1086" s="258" t="s">
        <v>1540</v>
      </c>
      <c r="S1086" s="259" t="s">
        <v>1540</v>
      </c>
      <c r="T1086" s="213" t="s">
        <v>5010</v>
      </c>
      <c r="U1086" s="213">
        <v>4</v>
      </c>
      <c r="V1086" s="213" t="s">
        <v>3443</v>
      </c>
      <c r="W1086" s="213" t="s">
        <v>3373</v>
      </c>
      <c r="X1086" s="213" t="s">
        <v>1540</v>
      </c>
      <c r="Y1086" s="213" t="s">
        <v>1540</v>
      </c>
      <c r="Z1086" s="213" t="s">
        <v>1540</v>
      </c>
      <c r="AA1086" s="213" t="s">
        <v>1540</v>
      </c>
      <c r="AB1086" s="213" t="s">
        <v>1540</v>
      </c>
      <c r="AC1086" s="207" t="s">
        <v>1540</v>
      </c>
      <c r="AD1086"/>
      <c r="AE1086" s="206"/>
      <c r="AF1086" s="94"/>
      <c r="AG1086" s="94"/>
      <c r="AH1086" s="94"/>
      <c r="AI1086" s="94"/>
      <c r="AJ1086" s="94"/>
      <c r="AK1086" s="94"/>
      <c r="AL1086" s="94"/>
      <c r="AM1086" s="254"/>
      <c r="AN1086" s="254"/>
      <c r="AO1086" s="94"/>
      <c r="AP1086" s="94"/>
      <c r="AQ1086" s="94"/>
      <c r="AR1086" s="94"/>
      <c r="AS1086" s="207"/>
    </row>
    <row r="1087" spans="13:45" ht="12.75">
      <c r="M1087" s="104"/>
      <c r="O1087" s="206" t="s">
        <v>1873</v>
      </c>
      <c r="P1087" s="94" t="s">
        <v>4288</v>
      </c>
      <c r="Q1087" s="180">
        <v>62108</v>
      </c>
      <c r="R1087" s="258" t="s">
        <v>1540</v>
      </c>
      <c r="S1087" s="259" t="s">
        <v>1540</v>
      </c>
      <c r="T1087" s="213" t="s">
        <v>5010</v>
      </c>
      <c r="U1087" s="213">
        <v>4</v>
      </c>
      <c r="V1087" s="213" t="s">
        <v>3443</v>
      </c>
      <c r="W1087" s="213" t="s">
        <v>3374</v>
      </c>
      <c r="X1087" s="213" t="s">
        <v>1540</v>
      </c>
      <c r="Y1087" s="213" t="s">
        <v>1540</v>
      </c>
      <c r="Z1087" s="213" t="s">
        <v>1540</v>
      </c>
      <c r="AA1087" s="213" t="s">
        <v>1540</v>
      </c>
      <c r="AB1087" s="213" t="s">
        <v>1540</v>
      </c>
      <c r="AC1087" s="207" t="s">
        <v>1540</v>
      </c>
      <c r="AD1087"/>
      <c r="AE1087" s="206"/>
      <c r="AF1087" s="94"/>
      <c r="AG1087" s="94"/>
      <c r="AH1087" s="94"/>
      <c r="AI1087" s="94"/>
      <c r="AJ1087" s="94"/>
      <c r="AK1087" s="94"/>
      <c r="AL1087" s="94"/>
      <c r="AM1087" s="254"/>
      <c r="AN1087" s="254"/>
      <c r="AO1087" s="94"/>
      <c r="AP1087" s="94"/>
      <c r="AQ1087" s="94"/>
      <c r="AR1087" s="94"/>
      <c r="AS1087" s="207"/>
    </row>
    <row r="1088" spans="13:45" ht="12.75">
      <c r="M1088" s="104"/>
      <c r="O1088" s="206" t="s">
        <v>1868</v>
      </c>
      <c r="P1088" s="94" t="s">
        <v>4283</v>
      </c>
      <c r="Q1088" s="180">
        <v>77663</v>
      </c>
      <c r="R1088" s="258" t="s">
        <v>1540</v>
      </c>
      <c r="S1088" s="259" t="s">
        <v>1540</v>
      </c>
      <c r="T1088" s="213" t="s">
        <v>5010</v>
      </c>
      <c r="U1088" s="213">
        <v>4</v>
      </c>
      <c r="V1088" s="213" t="s">
        <v>3443</v>
      </c>
      <c r="W1088" s="213" t="s">
        <v>3375</v>
      </c>
      <c r="X1088" s="213" t="s">
        <v>1540</v>
      </c>
      <c r="Y1088" s="213" t="s">
        <v>1540</v>
      </c>
      <c r="Z1088" s="213" t="s">
        <v>1540</v>
      </c>
      <c r="AA1088" s="213" t="s">
        <v>1540</v>
      </c>
      <c r="AB1088" s="213" t="s">
        <v>1540</v>
      </c>
      <c r="AC1088" s="207" t="s">
        <v>1540</v>
      </c>
      <c r="AD1088"/>
      <c r="AE1088" s="206"/>
      <c r="AF1088" s="94"/>
      <c r="AG1088" s="94"/>
      <c r="AH1088" s="94"/>
      <c r="AI1088" s="94"/>
      <c r="AJ1088" s="94"/>
      <c r="AK1088" s="94"/>
      <c r="AL1088" s="94"/>
      <c r="AM1088" s="254"/>
      <c r="AN1088" s="254"/>
      <c r="AO1088" s="94"/>
      <c r="AP1088" s="94"/>
      <c r="AQ1088" s="94"/>
      <c r="AR1088" s="94"/>
      <c r="AS1088" s="207"/>
    </row>
    <row r="1089" spans="13:45" ht="12.75">
      <c r="M1089" s="104"/>
      <c r="O1089" s="206" t="s">
        <v>1866</v>
      </c>
      <c r="P1089" s="94" t="s">
        <v>4281</v>
      </c>
      <c r="Q1089" s="180">
        <v>79970</v>
      </c>
      <c r="R1089" s="258" t="s">
        <v>1540</v>
      </c>
      <c r="S1089" s="259" t="s">
        <v>1540</v>
      </c>
      <c r="T1089" s="213" t="s">
        <v>5010</v>
      </c>
      <c r="U1089" s="213">
        <v>4</v>
      </c>
      <c r="V1089" s="213" t="s">
        <v>3443</v>
      </c>
      <c r="W1089" s="213" t="s">
        <v>2017</v>
      </c>
      <c r="X1089" s="213" t="s">
        <v>1540</v>
      </c>
      <c r="Y1089" s="213" t="s">
        <v>1540</v>
      </c>
      <c r="Z1089" s="213" t="s">
        <v>1540</v>
      </c>
      <c r="AA1089" s="213" t="s">
        <v>1540</v>
      </c>
      <c r="AB1089" s="213" t="s">
        <v>1540</v>
      </c>
      <c r="AC1089" s="207" t="s">
        <v>1540</v>
      </c>
      <c r="AD1089"/>
      <c r="AE1089" s="206"/>
      <c r="AF1089" s="94"/>
      <c r="AG1089" s="94"/>
      <c r="AH1089" s="94"/>
      <c r="AI1089" s="94"/>
      <c r="AJ1089" s="94"/>
      <c r="AK1089" s="94"/>
      <c r="AL1089" s="94"/>
      <c r="AM1089" s="254"/>
      <c r="AN1089" s="254"/>
      <c r="AO1089" s="94"/>
      <c r="AP1089" s="94"/>
      <c r="AQ1089" s="94"/>
      <c r="AR1089" s="94"/>
      <c r="AS1089" s="207"/>
    </row>
    <row r="1090" spans="13:45" ht="12.75">
      <c r="M1090" s="104"/>
      <c r="O1090" s="206" t="s">
        <v>1878</v>
      </c>
      <c r="P1090" s="94" t="s">
        <v>4293</v>
      </c>
      <c r="Q1090" s="180">
        <v>111050</v>
      </c>
      <c r="R1090" s="258" t="s">
        <v>1540</v>
      </c>
      <c r="S1090" s="259" t="s">
        <v>1540</v>
      </c>
      <c r="T1090" s="213" t="s">
        <v>5012</v>
      </c>
      <c r="U1090" s="213">
        <v>4</v>
      </c>
      <c r="V1090" s="213" t="s">
        <v>3443</v>
      </c>
      <c r="W1090" s="213" t="s">
        <v>2016</v>
      </c>
      <c r="X1090" s="213" t="s">
        <v>1540</v>
      </c>
      <c r="Y1090" s="213" t="s">
        <v>1540</v>
      </c>
      <c r="Z1090" s="213" t="s">
        <v>1540</v>
      </c>
      <c r="AA1090" s="213" t="s">
        <v>1540</v>
      </c>
      <c r="AB1090" s="213" t="s">
        <v>1540</v>
      </c>
      <c r="AC1090" s="207" t="s">
        <v>1540</v>
      </c>
      <c r="AD1090"/>
      <c r="AE1090" s="206"/>
      <c r="AF1090" s="94"/>
      <c r="AG1090" s="94"/>
      <c r="AH1090" s="94"/>
      <c r="AI1090" s="94"/>
      <c r="AJ1090" s="94"/>
      <c r="AK1090" s="94"/>
      <c r="AL1090" s="94"/>
      <c r="AM1090" s="254"/>
      <c r="AN1090" s="254"/>
      <c r="AO1090" s="94"/>
      <c r="AP1090" s="94"/>
      <c r="AQ1090" s="94"/>
      <c r="AR1090" s="94"/>
      <c r="AS1090" s="207"/>
    </row>
    <row r="1091" spans="13:45" ht="12.75">
      <c r="M1091" s="104"/>
      <c r="O1091" s="206" t="s">
        <v>1881</v>
      </c>
      <c r="P1091" s="94" t="s">
        <v>4296</v>
      </c>
      <c r="Q1091" s="180">
        <v>89249</v>
      </c>
      <c r="R1091" s="258" t="s">
        <v>1540</v>
      </c>
      <c r="S1091" s="259" t="s">
        <v>1540</v>
      </c>
      <c r="T1091" s="213" t="s">
        <v>5012</v>
      </c>
      <c r="U1091" s="213">
        <v>4</v>
      </c>
      <c r="V1091" s="213" t="s">
        <v>3443</v>
      </c>
      <c r="W1091" s="213" t="s">
        <v>3372</v>
      </c>
      <c r="X1091" s="213" t="s">
        <v>1540</v>
      </c>
      <c r="Y1091" s="213" t="s">
        <v>1540</v>
      </c>
      <c r="Z1091" s="213" t="s">
        <v>1540</v>
      </c>
      <c r="AA1091" s="213" t="s">
        <v>1540</v>
      </c>
      <c r="AB1091" s="213" t="s">
        <v>1540</v>
      </c>
      <c r="AC1091" s="207" t="s">
        <v>1540</v>
      </c>
      <c r="AD1091"/>
      <c r="AE1091" s="206"/>
      <c r="AF1091" s="94"/>
      <c r="AG1091" s="94"/>
      <c r="AH1091" s="94"/>
      <c r="AI1091" s="94"/>
      <c r="AJ1091" s="94"/>
      <c r="AK1091" s="94"/>
      <c r="AL1091" s="94"/>
      <c r="AM1091" s="254"/>
      <c r="AN1091" s="254"/>
      <c r="AO1091" s="94"/>
      <c r="AP1091" s="94"/>
      <c r="AQ1091" s="94"/>
      <c r="AR1091" s="94"/>
      <c r="AS1091" s="207"/>
    </row>
    <row r="1092" spans="13:45" ht="12.75">
      <c r="M1092" s="104"/>
      <c r="O1092" s="206" t="s">
        <v>4192</v>
      </c>
      <c r="P1092" s="94" t="s">
        <v>2020</v>
      </c>
      <c r="Q1092" s="180">
        <v>111050</v>
      </c>
      <c r="R1092" s="258" t="s">
        <v>1540</v>
      </c>
      <c r="S1092" s="259" t="s">
        <v>1540</v>
      </c>
      <c r="T1092" s="213" t="s">
        <v>5012</v>
      </c>
      <c r="U1092" s="213">
        <v>4</v>
      </c>
      <c r="V1092" s="213" t="s">
        <v>3443</v>
      </c>
      <c r="W1092" s="213" t="s">
        <v>3370</v>
      </c>
      <c r="X1092" s="213" t="s">
        <v>1540</v>
      </c>
      <c r="Y1092" s="213" t="s">
        <v>1540</v>
      </c>
      <c r="Z1092" s="213" t="s">
        <v>1540</v>
      </c>
      <c r="AA1092" s="213" t="s">
        <v>1540</v>
      </c>
      <c r="AB1092" s="213" t="s">
        <v>1540</v>
      </c>
      <c r="AC1092" s="207" t="s">
        <v>1540</v>
      </c>
      <c r="AD1092"/>
      <c r="AE1092" s="206"/>
      <c r="AF1092" s="94"/>
      <c r="AG1092" s="94"/>
      <c r="AH1092" s="94"/>
      <c r="AI1092" s="94"/>
      <c r="AJ1092" s="94"/>
      <c r="AK1092" s="94"/>
      <c r="AL1092" s="94"/>
      <c r="AM1092" s="254"/>
      <c r="AN1092" s="254"/>
      <c r="AO1092" s="94"/>
      <c r="AP1092" s="94"/>
      <c r="AQ1092" s="94"/>
      <c r="AR1092" s="94"/>
      <c r="AS1092" s="207"/>
    </row>
    <row r="1093" spans="13:45" ht="12.75">
      <c r="M1093" s="104"/>
      <c r="O1093" s="206" t="s">
        <v>1886</v>
      </c>
      <c r="P1093" s="94" t="s">
        <v>4301</v>
      </c>
      <c r="Q1093" s="180">
        <v>74813</v>
      </c>
      <c r="R1093" s="258" t="s">
        <v>1540</v>
      </c>
      <c r="S1093" s="259" t="s">
        <v>1540</v>
      </c>
      <c r="T1093" s="213" t="s">
        <v>5012</v>
      </c>
      <c r="U1093" s="213">
        <v>3</v>
      </c>
      <c r="V1093" s="213" t="s">
        <v>3443</v>
      </c>
      <c r="W1093" s="213" t="s">
        <v>3367</v>
      </c>
      <c r="X1093" s="213" t="s">
        <v>1540</v>
      </c>
      <c r="Y1093" s="213" t="s">
        <v>1540</v>
      </c>
      <c r="Z1093" s="213" t="s">
        <v>1540</v>
      </c>
      <c r="AA1093" s="213" t="s">
        <v>1540</v>
      </c>
      <c r="AB1093" s="213" t="s">
        <v>1540</v>
      </c>
      <c r="AC1093" s="207" t="s">
        <v>1540</v>
      </c>
      <c r="AD1093"/>
      <c r="AE1093" s="206"/>
      <c r="AF1093" s="94"/>
      <c r="AG1093" s="94"/>
      <c r="AH1093" s="94"/>
      <c r="AI1093" s="94"/>
      <c r="AJ1093" s="94"/>
      <c r="AK1093" s="94"/>
      <c r="AL1093" s="94"/>
      <c r="AM1093" s="254"/>
      <c r="AN1093" s="254"/>
      <c r="AO1093" s="94"/>
      <c r="AP1093" s="94"/>
      <c r="AQ1093" s="94"/>
      <c r="AR1093" s="94"/>
      <c r="AS1093" s="207"/>
    </row>
    <row r="1094" spans="13:45" ht="12.75">
      <c r="M1094" s="104"/>
      <c r="O1094" s="206" t="s">
        <v>1885</v>
      </c>
      <c r="P1094" s="94" t="s">
        <v>4300</v>
      </c>
      <c r="Q1094" s="180">
        <v>76527</v>
      </c>
      <c r="R1094" s="258" t="s">
        <v>1540</v>
      </c>
      <c r="S1094" s="259" t="s">
        <v>1540</v>
      </c>
      <c r="T1094" s="213" t="s">
        <v>5012</v>
      </c>
      <c r="U1094" s="213">
        <v>3</v>
      </c>
      <c r="V1094" s="213" t="s">
        <v>3443</v>
      </c>
      <c r="W1094" s="213" t="s">
        <v>2015</v>
      </c>
      <c r="X1094" s="213" t="s">
        <v>1540</v>
      </c>
      <c r="Y1094" s="213" t="s">
        <v>1540</v>
      </c>
      <c r="Z1094" s="213" t="s">
        <v>1540</v>
      </c>
      <c r="AA1094" s="213" t="s">
        <v>1540</v>
      </c>
      <c r="AB1094" s="213" t="s">
        <v>1540</v>
      </c>
      <c r="AC1094" s="207" t="s">
        <v>1540</v>
      </c>
      <c r="AD1094"/>
      <c r="AE1094" s="206"/>
      <c r="AF1094" s="94"/>
      <c r="AG1094" s="94"/>
      <c r="AH1094" s="94"/>
      <c r="AI1094" s="94"/>
      <c r="AJ1094" s="94"/>
      <c r="AK1094" s="94"/>
      <c r="AL1094" s="94"/>
      <c r="AM1094" s="254"/>
      <c r="AN1094" s="254"/>
      <c r="AO1094" s="94"/>
      <c r="AP1094" s="94"/>
      <c r="AQ1094" s="94"/>
      <c r="AR1094" s="94"/>
      <c r="AS1094" s="207"/>
    </row>
    <row r="1095" spans="13:45" ht="12.75">
      <c r="M1095" s="104"/>
      <c r="O1095" s="206" t="s">
        <v>4184</v>
      </c>
      <c r="P1095" s="94" t="s">
        <v>4304</v>
      </c>
      <c r="Q1095" s="180">
        <v>59482</v>
      </c>
      <c r="R1095" s="258" t="s">
        <v>1540</v>
      </c>
      <c r="S1095" s="259" t="s">
        <v>1540</v>
      </c>
      <c r="T1095" s="213" t="s">
        <v>5012</v>
      </c>
      <c r="U1095" s="213">
        <v>3</v>
      </c>
      <c r="V1095" s="213" t="s">
        <v>3443</v>
      </c>
      <c r="W1095" s="213" t="s">
        <v>3371</v>
      </c>
      <c r="X1095" s="213" t="s">
        <v>1540</v>
      </c>
      <c r="Y1095" s="213" t="s">
        <v>1540</v>
      </c>
      <c r="Z1095" s="213" t="s">
        <v>1540</v>
      </c>
      <c r="AA1095" s="213" t="s">
        <v>1540</v>
      </c>
      <c r="AB1095" s="213" t="s">
        <v>1540</v>
      </c>
      <c r="AC1095" s="207" t="s">
        <v>1540</v>
      </c>
      <c r="AD1095"/>
      <c r="AE1095" s="206"/>
      <c r="AF1095" s="94"/>
      <c r="AG1095" s="94"/>
      <c r="AH1095" s="94"/>
      <c r="AI1095" s="94"/>
      <c r="AJ1095" s="94"/>
      <c r="AK1095" s="94"/>
      <c r="AL1095" s="94"/>
      <c r="AM1095" s="254"/>
      <c r="AN1095" s="254"/>
      <c r="AO1095" s="94"/>
      <c r="AP1095" s="94"/>
      <c r="AQ1095" s="94"/>
      <c r="AR1095" s="94"/>
      <c r="AS1095" s="207"/>
    </row>
    <row r="1096" spans="13:45" ht="12.75">
      <c r="M1096" s="104"/>
      <c r="O1096" s="206" t="s">
        <v>1880</v>
      </c>
      <c r="P1096" s="94" t="s">
        <v>4295</v>
      </c>
      <c r="Q1096" s="180">
        <v>74813</v>
      </c>
      <c r="R1096" s="258" t="s">
        <v>1540</v>
      </c>
      <c r="S1096" s="259" t="s">
        <v>1540</v>
      </c>
      <c r="T1096" s="213" t="s">
        <v>5012</v>
      </c>
      <c r="U1096" s="213">
        <v>3</v>
      </c>
      <c r="V1096" s="213" t="s">
        <v>3443</v>
      </c>
      <c r="W1096" s="213" t="s">
        <v>3368</v>
      </c>
      <c r="X1096" s="213" t="s">
        <v>1540</v>
      </c>
      <c r="Y1096" s="213" t="s">
        <v>1540</v>
      </c>
      <c r="Z1096" s="213" t="s">
        <v>1540</v>
      </c>
      <c r="AA1096" s="213" t="s">
        <v>1540</v>
      </c>
      <c r="AB1096" s="213" t="s">
        <v>1540</v>
      </c>
      <c r="AC1096" s="207" t="s">
        <v>1540</v>
      </c>
      <c r="AD1096"/>
      <c r="AE1096" s="206"/>
      <c r="AF1096" s="94"/>
      <c r="AG1096" s="94"/>
      <c r="AH1096" s="94"/>
      <c r="AI1096" s="94"/>
      <c r="AJ1096" s="94"/>
      <c r="AK1096" s="94"/>
      <c r="AL1096" s="94"/>
      <c r="AM1096" s="254"/>
      <c r="AN1096" s="254"/>
      <c r="AO1096" s="94"/>
      <c r="AP1096" s="94"/>
      <c r="AQ1096" s="94"/>
      <c r="AR1096" s="94"/>
      <c r="AS1096" s="207"/>
    </row>
    <row r="1097" spans="13:45" ht="12.75">
      <c r="M1097" s="104"/>
      <c r="O1097" s="206" t="s">
        <v>1877</v>
      </c>
      <c r="P1097" s="94" t="s">
        <v>4292</v>
      </c>
      <c r="Q1097" s="180">
        <v>91857</v>
      </c>
      <c r="R1097" s="258" t="s">
        <v>1540</v>
      </c>
      <c r="S1097" s="259" t="s">
        <v>1540</v>
      </c>
      <c r="T1097" s="213" t="s">
        <v>5012</v>
      </c>
      <c r="U1097" s="213">
        <v>3</v>
      </c>
      <c r="V1097" s="213" t="s">
        <v>3443</v>
      </c>
      <c r="W1097" s="213" t="s">
        <v>2016</v>
      </c>
      <c r="X1097" s="213" t="s">
        <v>1540</v>
      </c>
      <c r="Y1097" s="213" t="s">
        <v>1540</v>
      </c>
      <c r="Z1097" s="213" t="s">
        <v>1540</v>
      </c>
      <c r="AA1097" s="213" t="s">
        <v>1540</v>
      </c>
      <c r="AB1097" s="213" t="s">
        <v>1540</v>
      </c>
      <c r="AC1097" s="207" t="s">
        <v>1540</v>
      </c>
      <c r="AD1097"/>
      <c r="AE1097" s="206"/>
      <c r="AF1097" s="94"/>
      <c r="AG1097" s="94"/>
      <c r="AH1097" s="94"/>
      <c r="AI1097" s="94"/>
      <c r="AJ1097" s="94"/>
      <c r="AK1097" s="94"/>
      <c r="AL1097" s="94"/>
      <c r="AM1097" s="254"/>
      <c r="AN1097" s="254"/>
      <c r="AO1097" s="94"/>
      <c r="AP1097" s="94"/>
      <c r="AQ1097" s="94"/>
      <c r="AR1097" s="94"/>
      <c r="AS1097" s="207"/>
    </row>
    <row r="1098" spans="13:45" ht="12.75">
      <c r="M1098" s="104"/>
      <c r="O1098" s="206" t="s">
        <v>1879</v>
      </c>
      <c r="P1098" s="94" t="s">
        <v>4294</v>
      </c>
      <c r="Q1098" s="180">
        <v>74813</v>
      </c>
      <c r="R1098" s="258" t="s">
        <v>1540</v>
      </c>
      <c r="S1098" s="259" t="s">
        <v>1540</v>
      </c>
      <c r="T1098" s="213" t="s">
        <v>5012</v>
      </c>
      <c r="U1098" s="213">
        <v>3</v>
      </c>
      <c r="V1098" s="213" t="s">
        <v>3443</v>
      </c>
      <c r="W1098" s="213" t="s">
        <v>3372</v>
      </c>
      <c r="X1098" s="213" t="s">
        <v>1540</v>
      </c>
      <c r="Y1098" s="213" t="s">
        <v>1540</v>
      </c>
      <c r="Z1098" s="213" t="s">
        <v>1540</v>
      </c>
      <c r="AA1098" s="213" t="s">
        <v>1540</v>
      </c>
      <c r="AB1098" s="213" t="s">
        <v>1540</v>
      </c>
      <c r="AC1098" s="207" t="s">
        <v>1540</v>
      </c>
      <c r="AD1098"/>
      <c r="AE1098" s="206"/>
      <c r="AF1098" s="94"/>
      <c r="AG1098" s="94"/>
      <c r="AH1098" s="94"/>
      <c r="AI1098" s="94"/>
      <c r="AJ1098" s="94"/>
      <c r="AK1098" s="94"/>
      <c r="AL1098" s="94"/>
      <c r="AM1098" s="254"/>
      <c r="AN1098" s="254"/>
      <c r="AO1098" s="94"/>
      <c r="AP1098" s="94"/>
      <c r="AQ1098" s="94"/>
      <c r="AR1098" s="94"/>
      <c r="AS1098" s="207"/>
    </row>
    <row r="1099" spans="13:45" ht="12.75">
      <c r="M1099" s="104"/>
      <c r="O1099" s="206" t="s">
        <v>1883</v>
      </c>
      <c r="P1099" s="94" t="s">
        <v>4298</v>
      </c>
      <c r="Q1099" s="180">
        <v>76527</v>
      </c>
      <c r="R1099" s="258" t="s">
        <v>1540</v>
      </c>
      <c r="S1099" s="259" t="s">
        <v>1540</v>
      </c>
      <c r="T1099" s="213" t="s">
        <v>5012</v>
      </c>
      <c r="U1099" s="213">
        <v>3</v>
      </c>
      <c r="V1099" s="213" t="s">
        <v>3443</v>
      </c>
      <c r="W1099" s="213" t="s">
        <v>3369</v>
      </c>
      <c r="X1099" s="213" t="s">
        <v>1540</v>
      </c>
      <c r="Y1099" s="213" t="s">
        <v>1540</v>
      </c>
      <c r="Z1099" s="213" t="s">
        <v>1540</v>
      </c>
      <c r="AA1099" s="213" t="s">
        <v>1540</v>
      </c>
      <c r="AB1099" s="213" t="s">
        <v>1540</v>
      </c>
      <c r="AC1099" s="207" t="s">
        <v>1540</v>
      </c>
      <c r="AD1099"/>
      <c r="AE1099" s="206"/>
      <c r="AF1099" s="94"/>
      <c r="AG1099" s="94"/>
      <c r="AH1099" s="94"/>
      <c r="AI1099" s="94"/>
      <c r="AJ1099" s="94"/>
      <c r="AK1099" s="94"/>
      <c r="AL1099" s="94"/>
      <c r="AM1099" s="254"/>
      <c r="AN1099" s="254"/>
      <c r="AO1099" s="94"/>
      <c r="AP1099" s="94"/>
      <c r="AQ1099" s="94"/>
      <c r="AR1099" s="94"/>
      <c r="AS1099" s="207"/>
    </row>
    <row r="1100" spans="13:45" ht="12.75">
      <c r="M1100" s="104"/>
      <c r="O1100" s="206" t="s">
        <v>4194</v>
      </c>
      <c r="P1100" s="94" t="s">
        <v>2022</v>
      </c>
      <c r="Q1100" s="180">
        <v>91857</v>
      </c>
      <c r="R1100" s="258" t="s">
        <v>1540</v>
      </c>
      <c r="S1100" s="259" t="s">
        <v>1540</v>
      </c>
      <c r="T1100" s="213" t="s">
        <v>5012</v>
      </c>
      <c r="U1100" s="213">
        <v>3</v>
      </c>
      <c r="V1100" s="213" t="s">
        <v>3443</v>
      </c>
      <c r="W1100" s="213" t="s">
        <v>3370</v>
      </c>
      <c r="X1100" s="213" t="s">
        <v>1540</v>
      </c>
      <c r="Y1100" s="213" t="s">
        <v>1540</v>
      </c>
      <c r="Z1100" s="213" t="s">
        <v>1540</v>
      </c>
      <c r="AA1100" s="213" t="s">
        <v>1540</v>
      </c>
      <c r="AB1100" s="213" t="s">
        <v>1540</v>
      </c>
      <c r="AC1100" s="207" t="s">
        <v>1540</v>
      </c>
      <c r="AD1100"/>
      <c r="AE1100" s="206"/>
      <c r="AF1100" s="94"/>
      <c r="AG1100" s="94"/>
      <c r="AH1100" s="94"/>
      <c r="AI1100" s="94"/>
      <c r="AJ1100" s="94"/>
      <c r="AK1100" s="94"/>
      <c r="AL1100" s="94"/>
      <c r="AM1100" s="254"/>
      <c r="AN1100" s="254"/>
      <c r="AO1100" s="94"/>
      <c r="AP1100" s="94"/>
      <c r="AQ1100" s="94"/>
      <c r="AR1100" s="94"/>
      <c r="AS1100" s="207"/>
    </row>
    <row r="1101" spans="13:45" ht="12.75">
      <c r="M1101" s="104"/>
      <c r="O1101" s="206" t="s">
        <v>4193</v>
      </c>
      <c r="P1101" s="94" t="s">
        <v>2021</v>
      </c>
      <c r="Q1101" s="180">
        <v>76527</v>
      </c>
      <c r="R1101" s="258" t="s">
        <v>1540</v>
      </c>
      <c r="S1101" s="259" t="s">
        <v>1540</v>
      </c>
      <c r="T1101" s="213" t="s">
        <v>5012</v>
      </c>
      <c r="U1101" s="213">
        <v>3</v>
      </c>
      <c r="V1101" s="213" t="s">
        <v>3443</v>
      </c>
      <c r="W1101" s="213" t="s">
        <v>3373</v>
      </c>
      <c r="X1101" s="213" t="s">
        <v>1540</v>
      </c>
      <c r="Y1101" s="213" t="s">
        <v>1540</v>
      </c>
      <c r="Z1101" s="213" t="s">
        <v>1540</v>
      </c>
      <c r="AA1101" s="213" t="s">
        <v>1540</v>
      </c>
      <c r="AB1101" s="213" t="s">
        <v>1540</v>
      </c>
      <c r="AC1101" s="207" t="s">
        <v>1540</v>
      </c>
      <c r="AD1101"/>
      <c r="AE1101" s="206"/>
      <c r="AF1101" s="94"/>
      <c r="AG1101" s="94"/>
      <c r="AH1101" s="94"/>
      <c r="AI1101" s="94"/>
      <c r="AJ1101" s="94"/>
      <c r="AK1101" s="94"/>
      <c r="AL1101" s="94"/>
      <c r="AM1101" s="254"/>
      <c r="AN1101" s="254"/>
      <c r="AO1101" s="94"/>
      <c r="AP1101" s="94"/>
      <c r="AQ1101" s="94"/>
      <c r="AR1101" s="94"/>
      <c r="AS1101" s="207"/>
    </row>
    <row r="1102" spans="13:45" ht="12.75">
      <c r="M1102" s="104"/>
      <c r="O1102" s="206" t="s">
        <v>4189</v>
      </c>
      <c r="P1102" s="94" t="s">
        <v>4309</v>
      </c>
      <c r="Q1102" s="180">
        <v>59482</v>
      </c>
      <c r="R1102" s="258" t="s">
        <v>1540</v>
      </c>
      <c r="S1102" s="259" t="s">
        <v>1540</v>
      </c>
      <c r="T1102" s="213" t="s">
        <v>5012</v>
      </c>
      <c r="U1102" s="213">
        <v>3</v>
      </c>
      <c r="V1102" s="213" t="s">
        <v>3443</v>
      </c>
      <c r="W1102" s="213" t="s">
        <v>3374</v>
      </c>
      <c r="X1102" s="213" t="s">
        <v>1540</v>
      </c>
      <c r="Y1102" s="213" t="s">
        <v>1540</v>
      </c>
      <c r="Z1102" s="213" t="s">
        <v>1540</v>
      </c>
      <c r="AA1102" s="213" t="s">
        <v>1540</v>
      </c>
      <c r="AB1102" s="213" t="s">
        <v>1540</v>
      </c>
      <c r="AC1102" s="207" t="s">
        <v>1540</v>
      </c>
      <c r="AD1102"/>
      <c r="AE1102" s="206"/>
      <c r="AF1102" s="94"/>
      <c r="AG1102" s="94"/>
      <c r="AH1102" s="94"/>
      <c r="AI1102" s="94"/>
      <c r="AJ1102" s="94"/>
      <c r="AK1102" s="94"/>
      <c r="AL1102" s="94"/>
      <c r="AM1102" s="254"/>
      <c r="AN1102" s="254"/>
      <c r="AO1102" s="94"/>
      <c r="AP1102" s="94"/>
      <c r="AQ1102" s="94"/>
      <c r="AR1102" s="94"/>
      <c r="AS1102" s="207"/>
    </row>
    <row r="1103" spans="13:45" ht="12.75">
      <c r="M1103" s="104"/>
      <c r="O1103" s="206" t="s">
        <v>4187</v>
      </c>
      <c r="P1103" s="94" t="s">
        <v>4307</v>
      </c>
      <c r="Q1103" s="180">
        <v>74813</v>
      </c>
      <c r="R1103" s="258" t="s">
        <v>1540</v>
      </c>
      <c r="S1103" s="259" t="s">
        <v>1540</v>
      </c>
      <c r="T1103" s="213" t="s">
        <v>5012</v>
      </c>
      <c r="U1103" s="213">
        <v>3</v>
      </c>
      <c r="V1103" s="213" t="s">
        <v>3443</v>
      </c>
      <c r="W1103" s="213" t="s">
        <v>3375</v>
      </c>
      <c r="X1103" s="213" t="s">
        <v>1540</v>
      </c>
      <c r="Y1103" s="213" t="s">
        <v>1540</v>
      </c>
      <c r="Z1103" s="213" t="s">
        <v>1540</v>
      </c>
      <c r="AA1103" s="213" t="s">
        <v>1540</v>
      </c>
      <c r="AB1103" s="213" t="s">
        <v>1540</v>
      </c>
      <c r="AC1103" s="207" t="s">
        <v>1540</v>
      </c>
      <c r="AD1103"/>
      <c r="AE1103" s="206"/>
      <c r="AF1103" s="94"/>
      <c r="AG1103" s="94"/>
      <c r="AH1103" s="94"/>
      <c r="AI1103" s="94"/>
      <c r="AJ1103" s="94"/>
      <c r="AK1103" s="94"/>
      <c r="AL1103" s="94"/>
      <c r="AM1103" s="254"/>
      <c r="AN1103" s="254"/>
      <c r="AO1103" s="94"/>
      <c r="AP1103" s="94"/>
      <c r="AQ1103" s="94"/>
      <c r="AR1103" s="94"/>
      <c r="AS1103" s="207"/>
    </row>
    <row r="1104" spans="13:45" ht="12.75">
      <c r="M1104" s="104"/>
      <c r="O1104" s="206" t="s">
        <v>4185</v>
      </c>
      <c r="P1104" s="94" t="s">
        <v>4305</v>
      </c>
      <c r="Q1104" s="180">
        <v>76527</v>
      </c>
      <c r="R1104" s="258" t="s">
        <v>1540</v>
      </c>
      <c r="S1104" s="259" t="s">
        <v>1540</v>
      </c>
      <c r="T1104" s="213" t="s">
        <v>5012</v>
      </c>
      <c r="U1104" s="213">
        <v>3</v>
      </c>
      <c r="V1104" s="213" t="s">
        <v>3443</v>
      </c>
      <c r="W1104" s="213" t="s">
        <v>2017</v>
      </c>
      <c r="X1104" s="213" t="s">
        <v>1540</v>
      </c>
      <c r="Y1104" s="213" t="s">
        <v>1540</v>
      </c>
      <c r="Z1104" s="213" t="s">
        <v>1540</v>
      </c>
      <c r="AA1104" s="213" t="s">
        <v>1540</v>
      </c>
      <c r="AB1104" s="213" t="s">
        <v>1540</v>
      </c>
      <c r="AC1104" s="207" t="s">
        <v>1540</v>
      </c>
      <c r="AD1104"/>
      <c r="AE1104" s="206"/>
      <c r="AF1104" s="94"/>
      <c r="AG1104" s="94"/>
      <c r="AH1104" s="94"/>
      <c r="AI1104" s="94"/>
      <c r="AJ1104" s="94"/>
      <c r="AK1104" s="94"/>
      <c r="AL1104" s="94"/>
      <c r="AM1104" s="254"/>
      <c r="AN1104" s="254"/>
      <c r="AO1104" s="94"/>
      <c r="AP1104" s="94"/>
      <c r="AQ1104" s="94"/>
      <c r="AR1104" s="94"/>
      <c r="AS1104" s="207"/>
    </row>
    <row r="1105" spans="13:45" ht="12.75">
      <c r="M1105" s="104"/>
      <c r="O1105" s="206" t="s">
        <v>4182</v>
      </c>
      <c r="P1105" s="94" t="s">
        <v>4302</v>
      </c>
      <c r="Q1105" s="180">
        <v>89249</v>
      </c>
      <c r="R1105" s="258" t="s">
        <v>1540</v>
      </c>
      <c r="S1105" s="259" t="s">
        <v>1540</v>
      </c>
      <c r="T1105" s="213" t="s">
        <v>5012</v>
      </c>
      <c r="U1105" s="213">
        <v>4</v>
      </c>
      <c r="V1105" s="213" t="s">
        <v>3443</v>
      </c>
      <c r="W1105" s="213" t="s">
        <v>3367</v>
      </c>
      <c r="X1105" s="213" t="s">
        <v>1540</v>
      </c>
      <c r="Y1105" s="213" t="s">
        <v>1540</v>
      </c>
      <c r="Z1105" s="213" t="s">
        <v>1540</v>
      </c>
      <c r="AA1105" s="213" t="s">
        <v>1540</v>
      </c>
      <c r="AB1105" s="213" t="s">
        <v>1540</v>
      </c>
      <c r="AC1105" s="207" t="s">
        <v>1540</v>
      </c>
      <c r="AD1105"/>
      <c r="AE1105" s="206"/>
      <c r="AF1105" s="94"/>
      <c r="AG1105" s="94"/>
      <c r="AH1105" s="94"/>
      <c r="AI1105" s="94"/>
      <c r="AJ1105" s="94"/>
      <c r="AK1105" s="94"/>
      <c r="AL1105" s="94"/>
      <c r="AM1105" s="254"/>
      <c r="AN1105" s="254"/>
      <c r="AO1105" s="94"/>
      <c r="AP1105" s="94"/>
      <c r="AQ1105" s="94"/>
      <c r="AR1105" s="94"/>
      <c r="AS1105" s="207"/>
    </row>
    <row r="1106" spans="13:45" ht="12.75">
      <c r="M1106" s="104"/>
      <c r="O1106" s="206" t="s">
        <v>1882</v>
      </c>
      <c r="P1106" s="94" t="s">
        <v>4297</v>
      </c>
      <c r="Q1106" s="180">
        <v>91536</v>
      </c>
      <c r="R1106" s="258" t="s">
        <v>1540</v>
      </c>
      <c r="S1106" s="259" t="s">
        <v>1540</v>
      </c>
      <c r="T1106" s="213" t="s">
        <v>5012</v>
      </c>
      <c r="U1106" s="213">
        <v>4</v>
      </c>
      <c r="V1106" s="213" t="s">
        <v>3443</v>
      </c>
      <c r="W1106" s="213" t="s">
        <v>2015</v>
      </c>
      <c r="X1106" s="213" t="s">
        <v>1540</v>
      </c>
      <c r="Y1106" s="213" t="s">
        <v>1540</v>
      </c>
      <c r="Z1106" s="213" t="s">
        <v>1540</v>
      </c>
      <c r="AA1106" s="213" t="s">
        <v>1540</v>
      </c>
      <c r="AB1106" s="213" t="s">
        <v>1540</v>
      </c>
      <c r="AC1106" s="207" t="s">
        <v>1540</v>
      </c>
      <c r="AD1106"/>
      <c r="AE1106" s="206"/>
      <c r="AF1106" s="94"/>
      <c r="AG1106" s="94"/>
      <c r="AH1106" s="94"/>
      <c r="AI1106" s="94"/>
      <c r="AJ1106" s="94"/>
      <c r="AK1106" s="94"/>
      <c r="AL1106" s="94"/>
      <c r="AM1106" s="254"/>
      <c r="AN1106" s="254"/>
      <c r="AO1106" s="94"/>
      <c r="AP1106" s="94"/>
      <c r="AQ1106" s="94"/>
      <c r="AR1106" s="94"/>
      <c r="AS1106" s="207"/>
    </row>
    <row r="1107" spans="13:45" ht="12.75">
      <c r="M1107" s="104"/>
      <c r="O1107" s="206" t="s">
        <v>1884</v>
      </c>
      <c r="P1107" s="94" t="s">
        <v>4299</v>
      </c>
      <c r="Q1107" s="180">
        <v>69734</v>
      </c>
      <c r="R1107" s="258" t="s">
        <v>1540</v>
      </c>
      <c r="S1107" s="259" t="s">
        <v>1540</v>
      </c>
      <c r="T1107" s="213" t="s">
        <v>5012</v>
      </c>
      <c r="U1107" s="213">
        <v>4</v>
      </c>
      <c r="V1107" s="213" t="s">
        <v>3443</v>
      </c>
      <c r="W1107" s="213" t="s">
        <v>3371</v>
      </c>
      <c r="X1107" s="213" t="s">
        <v>1540</v>
      </c>
      <c r="Y1107" s="213" t="s">
        <v>1540</v>
      </c>
      <c r="Z1107" s="213" t="s">
        <v>1540</v>
      </c>
      <c r="AA1107" s="213" t="s">
        <v>1540</v>
      </c>
      <c r="AB1107" s="213" t="s">
        <v>1540</v>
      </c>
      <c r="AC1107" s="207" t="s">
        <v>1540</v>
      </c>
      <c r="AD1107"/>
      <c r="AE1107" s="206"/>
      <c r="AF1107" s="94"/>
      <c r="AG1107" s="94"/>
      <c r="AH1107" s="94"/>
      <c r="AI1107" s="94"/>
      <c r="AJ1107" s="94"/>
      <c r="AK1107" s="94"/>
      <c r="AL1107" s="94"/>
      <c r="AM1107" s="254"/>
      <c r="AN1107" s="254"/>
      <c r="AO1107" s="94"/>
      <c r="AP1107" s="94"/>
      <c r="AQ1107" s="94"/>
      <c r="AR1107" s="94"/>
      <c r="AS1107" s="207"/>
    </row>
    <row r="1108" spans="13:45" ht="12.75">
      <c r="M1108" s="104"/>
      <c r="O1108" s="206" t="s">
        <v>1876</v>
      </c>
      <c r="P1108" s="94" t="s">
        <v>4291</v>
      </c>
      <c r="Q1108" s="180">
        <v>89249</v>
      </c>
      <c r="R1108" s="258" t="s">
        <v>1540</v>
      </c>
      <c r="S1108" s="259" t="s">
        <v>1540</v>
      </c>
      <c r="T1108" s="213" t="s">
        <v>5012</v>
      </c>
      <c r="U1108" s="213">
        <v>4</v>
      </c>
      <c r="V1108" s="213" t="s">
        <v>3443</v>
      </c>
      <c r="W1108" s="213" t="s">
        <v>3368</v>
      </c>
      <c r="X1108" s="213" t="s">
        <v>1540</v>
      </c>
      <c r="Y1108" s="213" t="s">
        <v>1540</v>
      </c>
      <c r="Z1108" s="213" t="s">
        <v>1540</v>
      </c>
      <c r="AA1108" s="213" t="s">
        <v>1540</v>
      </c>
      <c r="AB1108" s="213" t="s">
        <v>1540</v>
      </c>
      <c r="AC1108" s="207" t="s">
        <v>1540</v>
      </c>
      <c r="AD1108"/>
      <c r="AE1108" s="206"/>
      <c r="AF1108" s="94"/>
      <c r="AG1108" s="94"/>
      <c r="AH1108" s="94"/>
      <c r="AI1108" s="94"/>
      <c r="AJ1108" s="94"/>
      <c r="AK1108" s="94"/>
      <c r="AL1108" s="94"/>
      <c r="AM1108" s="254"/>
      <c r="AN1108" s="254"/>
      <c r="AO1108" s="94"/>
      <c r="AP1108" s="94"/>
      <c r="AQ1108" s="94"/>
      <c r="AR1108" s="94"/>
      <c r="AS1108" s="207"/>
    </row>
    <row r="1109" spans="13:45" ht="12.75">
      <c r="M1109" s="104"/>
      <c r="O1109" s="206" t="s">
        <v>4190</v>
      </c>
      <c r="P1109" s="94" t="s">
        <v>2018</v>
      </c>
      <c r="Q1109" s="180">
        <v>91536</v>
      </c>
      <c r="R1109" s="258" t="s">
        <v>1540</v>
      </c>
      <c r="S1109" s="259" t="s">
        <v>1540</v>
      </c>
      <c r="T1109" s="213" t="s">
        <v>5012</v>
      </c>
      <c r="U1109" s="213">
        <v>4</v>
      </c>
      <c r="V1109" s="213" t="s">
        <v>3443</v>
      </c>
      <c r="W1109" s="213" t="s">
        <v>3369</v>
      </c>
      <c r="X1109" s="213" t="s">
        <v>1540</v>
      </c>
      <c r="Y1109" s="213" t="s">
        <v>1540</v>
      </c>
      <c r="Z1109" s="213" t="s">
        <v>1540</v>
      </c>
      <c r="AA1109" s="213" t="s">
        <v>1540</v>
      </c>
      <c r="AB1109" s="213" t="s">
        <v>1540</v>
      </c>
      <c r="AC1109" s="207" t="s">
        <v>1540</v>
      </c>
      <c r="AD1109"/>
      <c r="AE1109" s="206"/>
      <c r="AF1109" s="94"/>
      <c r="AG1109" s="94"/>
      <c r="AH1109" s="94"/>
      <c r="AI1109" s="94"/>
      <c r="AJ1109" s="94"/>
      <c r="AK1109" s="94"/>
      <c r="AL1109" s="94"/>
      <c r="AM1109" s="254"/>
      <c r="AN1109" s="254"/>
      <c r="AO1109" s="94"/>
      <c r="AP1109" s="94"/>
      <c r="AQ1109" s="94"/>
      <c r="AR1109" s="94"/>
      <c r="AS1109" s="207"/>
    </row>
    <row r="1110" spans="13:45" ht="12.75">
      <c r="M1110" s="104"/>
      <c r="O1110" s="206" t="s">
        <v>4191</v>
      </c>
      <c r="P1110" s="94" t="s">
        <v>2019</v>
      </c>
      <c r="Q1110" s="180">
        <v>91536</v>
      </c>
      <c r="R1110" s="258" t="s">
        <v>1540</v>
      </c>
      <c r="S1110" s="259" t="s">
        <v>1540</v>
      </c>
      <c r="T1110" s="213" t="s">
        <v>5012</v>
      </c>
      <c r="U1110" s="213">
        <v>4</v>
      </c>
      <c r="V1110" s="213" t="s">
        <v>3443</v>
      </c>
      <c r="W1110" s="213" t="s">
        <v>3373</v>
      </c>
      <c r="X1110" s="213" t="s">
        <v>1540</v>
      </c>
      <c r="Y1110" s="213" t="s">
        <v>1540</v>
      </c>
      <c r="Z1110" s="213" t="s">
        <v>1540</v>
      </c>
      <c r="AA1110" s="213" t="s">
        <v>1540</v>
      </c>
      <c r="AB1110" s="213" t="s">
        <v>1540</v>
      </c>
      <c r="AC1110" s="207" t="s">
        <v>1540</v>
      </c>
      <c r="AD1110"/>
      <c r="AE1110" s="206"/>
      <c r="AF1110" s="94"/>
      <c r="AG1110" s="94"/>
      <c r="AH1110" s="94"/>
      <c r="AI1110" s="94"/>
      <c r="AJ1110" s="94"/>
      <c r="AK1110" s="94"/>
      <c r="AL1110" s="94"/>
      <c r="AM1110" s="254"/>
      <c r="AN1110" s="254"/>
      <c r="AO1110" s="94"/>
      <c r="AP1110" s="94"/>
      <c r="AQ1110" s="94"/>
      <c r="AR1110" s="94"/>
      <c r="AS1110" s="207"/>
    </row>
    <row r="1111" spans="13:45" ht="12.75">
      <c r="M1111" s="104"/>
      <c r="O1111" s="206" t="s">
        <v>4188</v>
      </c>
      <c r="P1111" s="94" t="s">
        <v>4308</v>
      </c>
      <c r="Q1111" s="180">
        <v>69734</v>
      </c>
      <c r="R1111" s="258" t="s">
        <v>1540</v>
      </c>
      <c r="S1111" s="259" t="s">
        <v>1540</v>
      </c>
      <c r="T1111" s="213" t="s">
        <v>5012</v>
      </c>
      <c r="U1111" s="213">
        <v>4</v>
      </c>
      <c r="V1111" s="213" t="s">
        <v>3443</v>
      </c>
      <c r="W1111" s="213" t="s">
        <v>3374</v>
      </c>
      <c r="X1111" s="213" t="s">
        <v>1540</v>
      </c>
      <c r="Y1111" s="213" t="s">
        <v>1540</v>
      </c>
      <c r="Z1111" s="213" t="s">
        <v>1540</v>
      </c>
      <c r="AA1111" s="213" t="s">
        <v>1540</v>
      </c>
      <c r="AB1111" s="213" t="s">
        <v>1540</v>
      </c>
      <c r="AC1111" s="207" t="s">
        <v>1540</v>
      </c>
      <c r="AD1111"/>
      <c r="AE1111" s="206"/>
      <c r="AF1111" s="94"/>
      <c r="AG1111" s="94"/>
      <c r="AH1111" s="94"/>
      <c r="AI1111" s="94"/>
      <c r="AJ1111" s="94"/>
      <c r="AK1111" s="94"/>
      <c r="AL1111" s="94"/>
      <c r="AM1111" s="254"/>
      <c r="AN1111" s="254"/>
      <c r="AO1111" s="94"/>
      <c r="AP1111" s="94"/>
      <c r="AQ1111" s="94"/>
      <c r="AR1111" s="94"/>
      <c r="AS1111" s="207"/>
    </row>
    <row r="1112" spans="13:45" ht="12.75">
      <c r="M1112" s="104"/>
      <c r="O1112" s="206" t="s">
        <v>4186</v>
      </c>
      <c r="P1112" s="94" t="s">
        <v>4306</v>
      </c>
      <c r="Q1112" s="180">
        <v>89249</v>
      </c>
      <c r="R1112" s="258" t="s">
        <v>1540</v>
      </c>
      <c r="S1112" s="259" t="s">
        <v>1540</v>
      </c>
      <c r="T1112" s="213" t="s">
        <v>5012</v>
      </c>
      <c r="U1112" s="213">
        <v>4</v>
      </c>
      <c r="V1112" s="213" t="s">
        <v>3443</v>
      </c>
      <c r="W1112" s="213" t="s">
        <v>3375</v>
      </c>
      <c r="X1112" s="213" t="s">
        <v>1540</v>
      </c>
      <c r="Y1112" s="213" t="s">
        <v>1540</v>
      </c>
      <c r="Z1112" s="213" t="s">
        <v>1540</v>
      </c>
      <c r="AA1112" s="213" t="s">
        <v>1540</v>
      </c>
      <c r="AB1112" s="213" t="s">
        <v>1540</v>
      </c>
      <c r="AC1112" s="207" t="s">
        <v>1540</v>
      </c>
      <c r="AD1112"/>
      <c r="AE1112" s="206"/>
      <c r="AF1112" s="94"/>
      <c r="AG1112" s="94"/>
      <c r="AH1112" s="94"/>
      <c r="AI1112" s="94"/>
      <c r="AJ1112" s="94"/>
      <c r="AK1112" s="94"/>
      <c r="AL1112" s="94"/>
      <c r="AM1112" s="254"/>
      <c r="AN1112" s="254"/>
      <c r="AO1112" s="94"/>
      <c r="AP1112" s="94"/>
      <c r="AQ1112" s="94"/>
      <c r="AR1112" s="94"/>
      <c r="AS1112" s="207"/>
    </row>
    <row r="1113" spans="13:45" ht="12.75">
      <c r="M1113" s="104"/>
      <c r="O1113" s="206" t="s">
        <v>4183</v>
      </c>
      <c r="P1113" s="94" t="s">
        <v>4303</v>
      </c>
      <c r="Q1113" s="180">
        <v>91536</v>
      </c>
      <c r="R1113" s="258" t="s">
        <v>1540</v>
      </c>
      <c r="S1113" s="259" t="s">
        <v>1540</v>
      </c>
      <c r="T1113" s="213" t="s">
        <v>5012</v>
      </c>
      <c r="U1113" s="213">
        <v>4</v>
      </c>
      <c r="V1113" s="213" t="s">
        <v>3443</v>
      </c>
      <c r="W1113" s="213" t="s">
        <v>2017</v>
      </c>
      <c r="X1113" s="213" t="s">
        <v>1540</v>
      </c>
      <c r="Y1113" s="213" t="s">
        <v>1540</v>
      </c>
      <c r="Z1113" s="213" t="s">
        <v>1540</v>
      </c>
      <c r="AA1113" s="213" t="s">
        <v>1540</v>
      </c>
      <c r="AB1113" s="213" t="s">
        <v>1540</v>
      </c>
      <c r="AC1113" s="207" t="s">
        <v>1540</v>
      </c>
      <c r="AD1113"/>
      <c r="AE1113" s="206"/>
      <c r="AF1113" s="94"/>
      <c r="AG1113" s="94"/>
      <c r="AH1113" s="94"/>
      <c r="AI1113" s="94"/>
      <c r="AJ1113" s="94"/>
      <c r="AK1113" s="94"/>
      <c r="AL1113" s="94"/>
      <c r="AM1113" s="254"/>
      <c r="AN1113" s="254"/>
      <c r="AO1113" s="94"/>
      <c r="AP1113" s="94"/>
      <c r="AQ1113" s="94"/>
      <c r="AR1113" s="94"/>
      <c r="AS1113" s="207"/>
    </row>
    <row r="1114" spans="13:45" ht="12.75">
      <c r="M1114" s="104"/>
      <c r="O1114" s="206" t="s">
        <v>1540</v>
      </c>
      <c r="P1114" s="94" t="s">
        <v>1540</v>
      </c>
      <c r="Q1114" s="180" t="s">
        <v>1540</v>
      </c>
      <c r="R1114" s="258" t="s">
        <v>1540</v>
      </c>
      <c r="S1114" s="259" t="s">
        <v>1540</v>
      </c>
      <c r="T1114" s="213" t="s">
        <v>2153</v>
      </c>
      <c r="U1114" s="213" t="s">
        <v>2153</v>
      </c>
      <c r="V1114" s="213" t="s">
        <v>3439</v>
      </c>
      <c r="W1114" s="213" t="s">
        <v>2153</v>
      </c>
      <c r="X1114" s="213" t="s">
        <v>1540</v>
      </c>
      <c r="Y1114" s="213" t="s">
        <v>1540</v>
      </c>
      <c r="Z1114" s="213" t="s">
        <v>1540</v>
      </c>
      <c r="AA1114" s="213" t="s">
        <v>1540</v>
      </c>
      <c r="AB1114" s="213" t="s">
        <v>1540</v>
      </c>
      <c r="AC1114" s="207" t="s">
        <v>1540</v>
      </c>
      <c r="AD1114"/>
      <c r="AE1114" s="206"/>
      <c r="AF1114" s="94"/>
      <c r="AG1114" s="94"/>
      <c r="AH1114" s="94"/>
      <c r="AI1114" s="94"/>
      <c r="AJ1114" s="94"/>
      <c r="AK1114" s="94"/>
      <c r="AL1114" s="94"/>
      <c r="AM1114" s="254"/>
      <c r="AN1114" s="254"/>
      <c r="AO1114" s="94"/>
      <c r="AP1114" s="94"/>
      <c r="AQ1114" s="94"/>
      <c r="AR1114" s="94"/>
      <c r="AS1114" s="207"/>
    </row>
    <row r="1115" spans="13:45" ht="12.75">
      <c r="M1115" s="104"/>
      <c r="O1115" s="206"/>
      <c r="P1115" s="94"/>
      <c r="Q1115" s="180"/>
      <c r="R1115" s="258"/>
      <c r="S1115" s="259"/>
      <c r="T1115" s="213"/>
      <c r="U1115" s="213"/>
      <c r="V1115" s="213"/>
      <c r="W1115" s="213"/>
      <c r="X1115" s="213"/>
      <c r="Y1115" s="213"/>
      <c r="Z1115" s="213"/>
      <c r="AA1115" s="213"/>
      <c r="AB1115" s="213"/>
      <c r="AC1115" s="207"/>
      <c r="AD1115"/>
      <c r="AE1115" s="206"/>
      <c r="AF1115" s="94"/>
      <c r="AG1115" s="94"/>
      <c r="AH1115" s="94"/>
      <c r="AI1115" s="94"/>
      <c r="AJ1115" s="94"/>
      <c r="AK1115" s="94"/>
      <c r="AL1115" s="94"/>
      <c r="AM1115" s="254"/>
      <c r="AN1115" s="254"/>
      <c r="AO1115" s="94"/>
      <c r="AP1115" s="94"/>
      <c r="AQ1115" s="94"/>
      <c r="AR1115" s="94"/>
      <c r="AS1115" s="207"/>
    </row>
    <row r="1116" spans="13:45" ht="12.75">
      <c r="M1116" s="104"/>
      <c r="O1116" s="206"/>
      <c r="P1116" s="94"/>
      <c r="Q1116" s="180"/>
      <c r="R1116" s="258"/>
      <c r="S1116" s="259"/>
      <c r="T1116" s="213"/>
      <c r="U1116" s="213"/>
      <c r="V1116" s="213"/>
      <c r="W1116" s="213"/>
      <c r="X1116" s="213"/>
      <c r="Y1116" s="213"/>
      <c r="Z1116" s="213"/>
      <c r="AA1116" s="213"/>
      <c r="AB1116" s="213"/>
      <c r="AC1116" s="207"/>
      <c r="AD1116"/>
      <c r="AE1116" s="206"/>
      <c r="AF1116" s="94"/>
      <c r="AG1116" s="94"/>
      <c r="AH1116" s="94"/>
      <c r="AI1116" s="94"/>
      <c r="AJ1116" s="94"/>
      <c r="AK1116" s="94"/>
      <c r="AL1116" s="94"/>
      <c r="AM1116" s="254"/>
      <c r="AN1116" s="254"/>
      <c r="AO1116" s="94"/>
      <c r="AP1116" s="94"/>
      <c r="AQ1116" s="94"/>
      <c r="AR1116" s="94"/>
      <c r="AS1116" s="207"/>
    </row>
    <row r="1117" spans="13:45" ht="12.75">
      <c r="M1117" s="104"/>
      <c r="O1117" s="206"/>
      <c r="P1117" s="94"/>
      <c r="Q1117" s="180"/>
      <c r="R1117" s="258"/>
      <c r="S1117" s="259"/>
      <c r="T1117" s="213"/>
      <c r="U1117" s="213"/>
      <c r="V1117" s="213"/>
      <c r="W1117" s="213"/>
      <c r="X1117" s="213"/>
      <c r="Y1117" s="213"/>
      <c r="Z1117" s="213"/>
      <c r="AA1117" s="213"/>
      <c r="AB1117" s="213"/>
      <c r="AC1117" s="207"/>
      <c r="AD1117"/>
      <c r="AE1117" s="206"/>
      <c r="AF1117" s="94"/>
      <c r="AG1117" s="94"/>
      <c r="AH1117" s="94"/>
      <c r="AI1117" s="94"/>
      <c r="AJ1117" s="94"/>
      <c r="AK1117" s="94"/>
      <c r="AL1117" s="94"/>
      <c r="AM1117" s="254"/>
      <c r="AN1117" s="254"/>
      <c r="AO1117" s="94"/>
      <c r="AP1117" s="94"/>
      <c r="AQ1117" s="94"/>
      <c r="AR1117" s="94"/>
      <c r="AS1117" s="207"/>
    </row>
    <row r="1118" spans="13:45" ht="12.75">
      <c r="M1118" s="104"/>
      <c r="O1118" s="206"/>
      <c r="P1118" s="94"/>
      <c r="Q1118" s="180"/>
      <c r="R1118" s="258"/>
      <c r="S1118" s="259"/>
      <c r="T1118" s="213"/>
      <c r="U1118" s="213"/>
      <c r="V1118" s="213"/>
      <c r="W1118" s="213"/>
      <c r="X1118" s="213"/>
      <c r="Y1118" s="213"/>
      <c r="Z1118" s="213"/>
      <c r="AA1118" s="213"/>
      <c r="AB1118" s="213"/>
      <c r="AC1118" s="207"/>
      <c r="AD1118"/>
      <c r="AE1118" s="206"/>
      <c r="AF1118" s="94"/>
      <c r="AG1118" s="94"/>
      <c r="AH1118" s="94"/>
      <c r="AI1118" s="94"/>
      <c r="AJ1118" s="94"/>
      <c r="AK1118" s="94"/>
      <c r="AL1118" s="94"/>
      <c r="AM1118" s="254"/>
      <c r="AN1118" s="254"/>
      <c r="AO1118" s="94"/>
      <c r="AP1118" s="94"/>
      <c r="AQ1118" s="94"/>
      <c r="AR1118" s="94"/>
      <c r="AS1118" s="207"/>
    </row>
    <row r="1119" spans="13:45" ht="12.75">
      <c r="M1119" s="104"/>
      <c r="O1119" s="206"/>
      <c r="P1119" s="94"/>
      <c r="Q1119" s="180"/>
      <c r="R1119" s="258"/>
      <c r="S1119" s="259"/>
      <c r="T1119" s="213"/>
      <c r="U1119" s="213"/>
      <c r="V1119" s="213"/>
      <c r="W1119" s="213"/>
      <c r="X1119" s="213"/>
      <c r="Y1119" s="213"/>
      <c r="Z1119" s="213"/>
      <c r="AA1119" s="213"/>
      <c r="AB1119" s="213"/>
      <c r="AC1119" s="207"/>
      <c r="AD1119"/>
      <c r="AE1119" s="206"/>
      <c r="AF1119" s="94"/>
      <c r="AG1119" s="94"/>
      <c r="AH1119" s="94"/>
      <c r="AI1119" s="94"/>
      <c r="AJ1119" s="94"/>
      <c r="AK1119" s="94"/>
      <c r="AL1119" s="94"/>
      <c r="AM1119" s="254"/>
      <c r="AN1119" s="254"/>
      <c r="AO1119" s="94"/>
      <c r="AP1119" s="94"/>
      <c r="AQ1119" s="94"/>
      <c r="AR1119" s="94"/>
      <c r="AS1119" s="207"/>
    </row>
    <row r="1120" spans="13:45" ht="12.75">
      <c r="M1120" s="104"/>
      <c r="O1120" s="206"/>
      <c r="P1120" s="94"/>
      <c r="Q1120" s="180"/>
      <c r="R1120" s="258"/>
      <c r="S1120" s="259"/>
      <c r="T1120" s="213"/>
      <c r="U1120" s="213"/>
      <c r="V1120" s="213"/>
      <c r="W1120" s="213"/>
      <c r="X1120" s="213"/>
      <c r="Y1120" s="213"/>
      <c r="Z1120" s="213"/>
      <c r="AA1120" s="213"/>
      <c r="AB1120" s="213"/>
      <c r="AC1120" s="207"/>
      <c r="AD1120"/>
      <c r="AE1120" s="206"/>
      <c r="AF1120" s="94"/>
      <c r="AG1120" s="94"/>
      <c r="AH1120" s="94"/>
      <c r="AI1120" s="94"/>
      <c r="AJ1120" s="94"/>
      <c r="AK1120" s="94"/>
      <c r="AL1120" s="94"/>
      <c r="AM1120" s="254"/>
      <c r="AN1120" s="254"/>
      <c r="AO1120" s="94"/>
      <c r="AP1120" s="94"/>
      <c r="AQ1120" s="94"/>
      <c r="AR1120" s="94"/>
      <c r="AS1120" s="207"/>
    </row>
    <row r="1121" spans="13:45" ht="12.75">
      <c r="M1121" s="104"/>
      <c r="O1121" s="206"/>
      <c r="P1121" s="94"/>
      <c r="Q1121" s="180"/>
      <c r="R1121" s="258"/>
      <c r="S1121" s="259"/>
      <c r="T1121" s="213"/>
      <c r="U1121" s="213"/>
      <c r="V1121" s="213"/>
      <c r="W1121" s="213"/>
      <c r="X1121" s="213"/>
      <c r="Y1121" s="213"/>
      <c r="Z1121" s="213"/>
      <c r="AA1121" s="213"/>
      <c r="AB1121" s="213"/>
      <c r="AC1121" s="207"/>
      <c r="AD1121"/>
      <c r="AE1121" s="206"/>
      <c r="AF1121" s="94"/>
      <c r="AG1121" s="94"/>
      <c r="AH1121" s="94"/>
      <c r="AI1121" s="94"/>
      <c r="AJ1121" s="94"/>
      <c r="AK1121" s="94"/>
      <c r="AL1121" s="94"/>
      <c r="AM1121" s="254"/>
      <c r="AN1121" s="254"/>
      <c r="AO1121" s="94"/>
      <c r="AP1121" s="94"/>
      <c r="AQ1121" s="94"/>
      <c r="AR1121" s="94"/>
      <c r="AS1121" s="207"/>
    </row>
    <row r="1122" spans="13:45" ht="12.75">
      <c r="M1122" s="104"/>
      <c r="O1122" s="206"/>
      <c r="P1122" s="94"/>
      <c r="Q1122" s="180"/>
      <c r="R1122" s="258"/>
      <c r="S1122" s="259"/>
      <c r="T1122" s="213"/>
      <c r="U1122" s="213"/>
      <c r="V1122" s="213"/>
      <c r="W1122" s="213"/>
      <c r="X1122" s="213"/>
      <c r="Y1122" s="213"/>
      <c r="Z1122" s="213"/>
      <c r="AA1122" s="213"/>
      <c r="AB1122" s="213"/>
      <c r="AC1122" s="207"/>
      <c r="AD1122"/>
      <c r="AE1122" s="206"/>
      <c r="AF1122" s="94"/>
      <c r="AG1122" s="94"/>
      <c r="AH1122" s="94"/>
      <c r="AI1122" s="94"/>
      <c r="AJ1122" s="94"/>
      <c r="AK1122" s="94"/>
      <c r="AL1122" s="94"/>
      <c r="AM1122" s="254"/>
      <c r="AN1122" s="254"/>
      <c r="AO1122" s="94"/>
      <c r="AP1122" s="94"/>
      <c r="AQ1122" s="94"/>
      <c r="AR1122" s="94"/>
      <c r="AS1122" s="207"/>
    </row>
    <row r="1123" spans="13:45" ht="12.75">
      <c r="M1123" s="104"/>
      <c r="O1123" s="206"/>
      <c r="P1123" s="94"/>
      <c r="Q1123" s="180"/>
      <c r="R1123" s="258"/>
      <c r="S1123" s="259"/>
      <c r="T1123" s="213"/>
      <c r="U1123" s="213"/>
      <c r="V1123" s="213"/>
      <c r="W1123" s="213"/>
      <c r="X1123" s="213"/>
      <c r="Y1123" s="213"/>
      <c r="Z1123" s="213"/>
      <c r="AA1123" s="213"/>
      <c r="AB1123" s="213"/>
      <c r="AC1123" s="207"/>
      <c r="AD1123"/>
      <c r="AE1123" s="206"/>
      <c r="AF1123" s="94"/>
      <c r="AG1123" s="94"/>
      <c r="AH1123" s="94"/>
      <c r="AI1123" s="94"/>
      <c r="AJ1123" s="94"/>
      <c r="AK1123" s="94"/>
      <c r="AL1123" s="94"/>
      <c r="AM1123" s="254"/>
      <c r="AN1123" s="254"/>
      <c r="AO1123" s="94"/>
      <c r="AP1123" s="94"/>
      <c r="AQ1123" s="94"/>
      <c r="AR1123" s="94"/>
      <c r="AS1123" s="207"/>
    </row>
    <row r="1124" spans="13:45" ht="12.75">
      <c r="M1124" s="104"/>
      <c r="O1124" s="206"/>
      <c r="P1124" s="94"/>
      <c r="Q1124" s="180"/>
      <c r="R1124" s="258"/>
      <c r="S1124" s="259"/>
      <c r="T1124" s="213"/>
      <c r="U1124" s="213"/>
      <c r="V1124" s="213"/>
      <c r="W1124" s="213"/>
      <c r="X1124" s="213"/>
      <c r="Y1124" s="213"/>
      <c r="Z1124" s="213"/>
      <c r="AA1124" s="213"/>
      <c r="AB1124" s="213"/>
      <c r="AC1124" s="207"/>
      <c r="AD1124"/>
      <c r="AE1124" s="206"/>
      <c r="AF1124" s="94"/>
      <c r="AG1124" s="94"/>
      <c r="AH1124" s="94"/>
      <c r="AI1124" s="94"/>
      <c r="AJ1124" s="94"/>
      <c r="AK1124" s="94"/>
      <c r="AL1124" s="94"/>
      <c r="AM1124" s="254"/>
      <c r="AN1124" s="254"/>
      <c r="AO1124" s="94"/>
      <c r="AP1124" s="94"/>
      <c r="AQ1124" s="94"/>
      <c r="AR1124" s="94"/>
      <c r="AS1124" s="207"/>
    </row>
    <row r="1125" spans="13:45" ht="12.75">
      <c r="M1125" s="104"/>
      <c r="O1125" s="206"/>
      <c r="P1125" s="94"/>
      <c r="Q1125" s="180"/>
      <c r="R1125" s="258"/>
      <c r="S1125" s="259"/>
      <c r="T1125" s="213"/>
      <c r="U1125" s="213"/>
      <c r="V1125" s="213"/>
      <c r="W1125" s="213"/>
      <c r="X1125" s="213"/>
      <c r="Y1125" s="213"/>
      <c r="Z1125" s="213"/>
      <c r="AA1125" s="213"/>
      <c r="AB1125" s="213"/>
      <c r="AC1125" s="207"/>
      <c r="AD1125"/>
      <c r="AE1125" s="206"/>
      <c r="AF1125" s="94"/>
      <c r="AG1125" s="94"/>
      <c r="AH1125" s="94"/>
      <c r="AI1125" s="94"/>
      <c r="AJ1125" s="94"/>
      <c r="AK1125" s="94"/>
      <c r="AL1125" s="94"/>
      <c r="AM1125" s="254"/>
      <c r="AN1125" s="254"/>
      <c r="AO1125" s="94"/>
      <c r="AP1125" s="94"/>
      <c r="AQ1125" s="94"/>
      <c r="AR1125" s="94"/>
      <c r="AS1125" s="207"/>
    </row>
    <row r="1126" spans="13:45" ht="12.75">
      <c r="M1126" s="104"/>
      <c r="O1126" s="206"/>
      <c r="P1126" s="94"/>
      <c r="Q1126" s="180"/>
      <c r="R1126" s="258"/>
      <c r="S1126" s="259"/>
      <c r="T1126" s="213"/>
      <c r="U1126" s="213"/>
      <c r="V1126" s="213"/>
      <c r="W1126" s="213"/>
      <c r="X1126" s="213"/>
      <c r="Y1126" s="213"/>
      <c r="Z1126" s="213"/>
      <c r="AA1126" s="213"/>
      <c r="AB1126" s="213"/>
      <c r="AC1126" s="207"/>
      <c r="AD1126"/>
      <c r="AE1126" s="206"/>
      <c r="AF1126" s="94"/>
      <c r="AG1126" s="94"/>
      <c r="AH1126" s="94"/>
      <c r="AI1126" s="94"/>
      <c r="AJ1126" s="94"/>
      <c r="AK1126" s="94"/>
      <c r="AL1126" s="94"/>
      <c r="AM1126" s="254"/>
      <c r="AN1126" s="254"/>
      <c r="AO1126" s="94"/>
      <c r="AP1126" s="94"/>
      <c r="AQ1126" s="94"/>
      <c r="AR1126" s="94"/>
      <c r="AS1126" s="207"/>
    </row>
    <row r="1127" spans="13:45" ht="12.75">
      <c r="M1127" s="104"/>
      <c r="O1127" s="206"/>
      <c r="P1127" s="94"/>
      <c r="Q1127" s="180"/>
      <c r="R1127" s="258"/>
      <c r="S1127" s="259"/>
      <c r="T1127" s="213"/>
      <c r="U1127" s="213"/>
      <c r="V1127" s="213"/>
      <c r="W1127" s="213"/>
      <c r="X1127" s="213"/>
      <c r="Y1127" s="213"/>
      <c r="Z1127" s="213"/>
      <c r="AA1127" s="213"/>
      <c r="AB1127" s="213"/>
      <c r="AC1127" s="207"/>
      <c r="AD1127"/>
      <c r="AE1127" s="206"/>
      <c r="AF1127" s="94"/>
      <c r="AG1127" s="94"/>
      <c r="AH1127" s="94"/>
      <c r="AI1127" s="94"/>
      <c r="AJ1127" s="94"/>
      <c r="AK1127" s="94"/>
      <c r="AL1127" s="94"/>
      <c r="AM1127" s="254"/>
      <c r="AN1127" s="254"/>
      <c r="AO1127" s="94"/>
      <c r="AP1127" s="94"/>
      <c r="AQ1127" s="94"/>
      <c r="AR1127" s="94"/>
      <c r="AS1127" s="207"/>
    </row>
    <row r="1128" spans="13:45" ht="12.75">
      <c r="M1128" s="104"/>
      <c r="O1128" s="206"/>
      <c r="P1128" s="94"/>
      <c r="Q1128" s="180"/>
      <c r="R1128" s="258"/>
      <c r="S1128" s="259"/>
      <c r="T1128" s="213"/>
      <c r="U1128" s="213"/>
      <c r="V1128" s="213"/>
      <c r="W1128" s="213"/>
      <c r="X1128" s="213"/>
      <c r="Y1128" s="213"/>
      <c r="Z1128" s="213"/>
      <c r="AA1128" s="213"/>
      <c r="AB1128" s="213"/>
      <c r="AC1128" s="207"/>
      <c r="AD1128"/>
      <c r="AE1128" s="206"/>
      <c r="AF1128" s="94"/>
      <c r="AG1128" s="94"/>
      <c r="AH1128" s="94"/>
      <c r="AI1128" s="94"/>
      <c r="AJ1128" s="94"/>
      <c r="AK1128" s="94"/>
      <c r="AL1128" s="94"/>
      <c r="AM1128" s="254"/>
      <c r="AN1128" s="254"/>
      <c r="AO1128" s="94"/>
      <c r="AP1128" s="94"/>
      <c r="AQ1128" s="94"/>
      <c r="AR1128" s="94"/>
      <c r="AS1128" s="207"/>
    </row>
    <row r="1129" spans="13:45" ht="12.75">
      <c r="M1129" s="104"/>
      <c r="O1129" s="206"/>
      <c r="P1129" s="94"/>
      <c r="Q1129" s="180"/>
      <c r="R1129" s="258"/>
      <c r="S1129" s="259"/>
      <c r="T1129" s="213"/>
      <c r="U1129" s="213"/>
      <c r="V1129" s="213"/>
      <c r="W1129" s="213"/>
      <c r="X1129" s="213"/>
      <c r="Y1129" s="213"/>
      <c r="Z1129" s="213"/>
      <c r="AA1129" s="213"/>
      <c r="AB1129" s="213"/>
      <c r="AC1129" s="207"/>
      <c r="AD1129"/>
      <c r="AE1129" s="206"/>
      <c r="AF1129" s="94"/>
      <c r="AG1129" s="94"/>
      <c r="AH1129" s="94"/>
      <c r="AI1129" s="94"/>
      <c r="AJ1129" s="94"/>
      <c r="AK1129" s="94"/>
      <c r="AL1129" s="94"/>
      <c r="AM1129" s="254"/>
      <c r="AN1129" s="254"/>
      <c r="AO1129" s="94"/>
      <c r="AP1129" s="94"/>
      <c r="AQ1129" s="94"/>
      <c r="AR1129" s="94"/>
      <c r="AS1129" s="207"/>
    </row>
    <row r="1130" spans="13:45" ht="12.75">
      <c r="M1130" s="104"/>
      <c r="O1130" s="206"/>
      <c r="P1130" s="94"/>
      <c r="Q1130" s="180"/>
      <c r="R1130" s="258"/>
      <c r="S1130" s="259"/>
      <c r="T1130" s="213"/>
      <c r="U1130" s="213"/>
      <c r="V1130" s="213"/>
      <c r="W1130" s="213"/>
      <c r="X1130" s="213"/>
      <c r="Y1130" s="213"/>
      <c r="Z1130" s="213"/>
      <c r="AA1130" s="213"/>
      <c r="AB1130" s="213"/>
      <c r="AC1130" s="207"/>
      <c r="AD1130"/>
      <c r="AE1130" s="206"/>
      <c r="AF1130" s="94"/>
      <c r="AG1130" s="94"/>
      <c r="AH1130" s="94"/>
      <c r="AI1130" s="94"/>
      <c r="AJ1130" s="94"/>
      <c r="AK1130" s="94"/>
      <c r="AL1130" s="94"/>
      <c r="AM1130" s="254"/>
      <c r="AN1130" s="254"/>
      <c r="AO1130" s="94"/>
      <c r="AP1130" s="94"/>
      <c r="AQ1130" s="94"/>
      <c r="AR1130" s="94"/>
      <c r="AS1130" s="207"/>
    </row>
    <row r="1131" spans="13:45" ht="12.75">
      <c r="M1131" s="104"/>
      <c r="O1131" s="206"/>
      <c r="P1131" s="94"/>
      <c r="Q1131" s="180"/>
      <c r="R1131" s="258"/>
      <c r="S1131" s="259"/>
      <c r="T1131" s="213"/>
      <c r="U1131" s="213"/>
      <c r="V1131" s="213"/>
      <c r="W1131" s="213"/>
      <c r="X1131" s="213"/>
      <c r="Y1131" s="213"/>
      <c r="Z1131" s="213"/>
      <c r="AA1131" s="213"/>
      <c r="AB1131" s="213"/>
      <c r="AC1131" s="207"/>
      <c r="AD1131"/>
      <c r="AE1131" s="206"/>
      <c r="AF1131" s="94"/>
      <c r="AG1131" s="94"/>
      <c r="AH1131" s="94"/>
      <c r="AI1131" s="94"/>
      <c r="AJ1131" s="94"/>
      <c r="AK1131" s="94"/>
      <c r="AL1131" s="94"/>
      <c r="AM1131" s="254"/>
      <c r="AN1131" s="254"/>
      <c r="AO1131" s="94"/>
      <c r="AP1131" s="94"/>
      <c r="AQ1131" s="94"/>
      <c r="AR1131" s="94"/>
      <c r="AS1131" s="207"/>
    </row>
    <row r="1132" spans="13:45" ht="12.75">
      <c r="M1132" s="104"/>
      <c r="O1132" s="206"/>
      <c r="P1132" s="94"/>
      <c r="Q1132" s="180"/>
      <c r="R1132" s="258"/>
      <c r="S1132" s="259"/>
      <c r="T1132" s="213"/>
      <c r="U1132" s="213"/>
      <c r="V1132" s="213"/>
      <c r="W1132" s="213"/>
      <c r="X1132" s="213"/>
      <c r="Y1132" s="213"/>
      <c r="Z1132" s="213"/>
      <c r="AA1132" s="213"/>
      <c r="AB1132" s="213"/>
      <c r="AC1132" s="207"/>
      <c r="AD1132"/>
      <c r="AE1132" s="206"/>
      <c r="AF1132" s="94"/>
      <c r="AG1132" s="94"/>
      <c r="AH1132" s="94"/>
      <c r="AI1132" s="94"/>
      <c r="AJ1132" s="94"/>
      <c r="AK1132" s="94"/>
      <c r="AL1132" s="94"/>
      <c r="AM1132" s="254"/>
      <c r="AN1132" s="254"/>
      <c r="AO1132" s="94"/>
      <c r="AP1132" s="94"/>
      <c r="AQ1132" s="94"/>
      <c r="AR1132" s="94"/>
      <c r="AS1132" s="207"/>
    </row>
    <row r="1133" spans="13:45" ht="12.75">
      <c r="M1133" s="104"/>
      <c r="O1133" s="206"/>
      <c r="P1133" s="94"/>
      <c r="Q1133" s="180"/>
      <c r="R1133" s="258"/>
      <c r="S1133" s="259"/>
      <c r="T1133" s="213"/>
      <c r="U1133" s="213"/>
      <c r="V1133" s="213"/>
      <c r="W1133" s="213"/>
      <c r="X1133" s="213"/>
      <c r="Y1133" s="213"/>
      <c r="Z1133" s="213"/>
      <c r="AA1133" s="213"/>
      <c r="AB1133" s="213"/>
      <c r="AC1133" s="207"/>
      <c r="AD1133"/>
      <c r="AE1133" s="206"/>
      <c r="AF1133" s="94"/>
      <c r="AG1133" s="94"/>
      <c r="AH1133" s="94"/>
      <c r="AI1133" s="94"/>
      <c r="AJ1133" s="94"/>
      <c r="AK1133" s="94"/>
      <c r="AL1133" s="94"/>
      <c r="AM1133" s="254"/>
      <c r="AN1133" s="254"/>
      <c r="AO1133" s="94"/>
      <c r="AP1133" s="94"/>
      <c r="AQ1133" s="94"/>
      <c r="AR1133" s="94"/>
      <c r="AS1133" s="207"/>
    </row>
    <row r="1134" spans="13:45" ht="12.75">
      <c r="M1134" s="104"/>
      <c r="O1134" s="206"/>
      <c r="P1134" s="94"/>
      <c r="Q1134" s="180"/>
      <c r="R1134" s="258"/>
      <c r="S1134" s="259"/>
      <c r="T1134" s="213"/>
      <c r="U1134" s="213"/>
      <c r="V1134" s="213"/>
      <c r="W1134" s="213"/>
      <c r="X1134" s="213"/>
      <c r="Y1134" s="213"/>
      <c r="Z1134" s="213"/>
      <c r="AA1134" s="213"/>
      <c r="AB1134" s="213"/>
      <c r="AC1134" s="207"/>
      <c r="AD1134"/>
      <c r="AE1134" s="206"/>
      <c r="AF1134" s="94"/>
      <c r="AG1134" s="94"/>
      <c r="AH1134" s="94"/>
      <c r="AI1134" s="94"/>
      <c r="AJ1134" s="94"/>
      <c r="AK1134" s="94"/>
      <c r="AL1134" s="94"/>
      <c r="AM1134" s="254"/>
      <c r="AN1134" s="254"/>
      <c r="AO1134" s="94"/>
      <c r="AP1134" s="94"/>
      <c r="AQ1134" s="94"/>
      <c r="AR1134" s="94"/>
      <c r="AS1134" s="207"/>
    </row>
    <row r="1135" spans="13:45" ht="12.75">
      <c r="M1135" s="104"/>
      <c r="O1135" s="206"/>
      <c r="P1135" s="94"/>
      <c r="Q1135" s="180"/>
      <c r="R1135" s="258"/>
      <c r="S1135" s="259"/>
      <c r="T1135" s="213"/>
      <c r="U1135" s="213"/>
      <c r="V1135" s="213"/>
      <c r="W1135" s="213"/>
      <c r="X1135" s="213"/>
      <c r="Y1135" s="213"/>
      <c r="Z1135" s="213"/>
      <c r="AA1135" s="213"/>
      <c r="AB1135" s="213"/>
      <c r="AC1135" s="207"/>
      <c r="AD1135"/>
      <c r="AE1135" s="206"/>
      <c r="AF1135" s="94"/>
      <c r="AG1135" s="94"/>
      <c r="AH1135" s="94"/>
      <c r="AI1135" s="94"/>
      <c r="AJ1135" s="94"/>
      <c r="AK1135" s="94"/>
      <c r="AL1135" s="94"/>
      <c r="AM1135" s="254"/>
      <c r="AN1135" s="254"/>
      <c r="AO1135" s="94"/>
      <c r="AP1135" s="94"/>
      <c r="AQ1135" s="94"/>
      <c r="AR1135" s="94"/>
      <c r="AS1135" s="207"/>
    </row>
    <row r="1136" spans="13:45" ht="12.75">
      <c r="M1136" s="104"/>
      <c r="O1136" s="206"/>
      <c r="P1136" s="94"/>
      <c r="Q1136" s="180"/>
      <c r="R1136" s="258"/>
      <c r="S1136" s="259"/>
      <c r="T1136" s="213"/>
      <c r="U1136" s="213"/>
      <c r="V1136" s="213"/>
      <c r="W1136" s="213"/>
      <c r="X1136" s="213"/>
      <c r="Y1136" s="213"/>
      <c r="Z1136" s="213"/>
      <c r="AA1136" s="213"/>
      <c r="AB1136" s="213"/>
      <c r="AC1136" s="207"/>
      <c r="AD1136"/>
      <c r="AE1136" s="206"/>
      <c r="AF1136" s="94"/>
      <c r="AG1136" s="94"/>
      <c r="AH1136" s="94"/>
      <c r="AI1136" s="94"/>
      <c r="AJ1136" s="94"/>
      <c r="AK1136" s="94"/>
      <c r="AL1136" s="94"/>
      <c r="AM1136" s="254"/>
      <c r="AN1136" s="254"/>
      <c r="AO1136" s="94"/>
      <c r="AP1136" s="94"/>
      <c r="AQ1136" s="94"/>
      <c r="AR1136" s="94"/>
      <c r="AS1136" s="207"/>
    </row>
    <row r="1137" spans="13:45" ht="12.75">
      <c r="M1137" s="104"/>
      <c r="O1137" s="206"/>
      <c r="P1137" s="94"/>
      <c r="Q1137" s="180"/>
      <c r="R1137" s="258"/>
      <c r="S1137" s="259"/>
      <c r="T1137" s="213"/>
      <c r="U1137" s="213"/>
      <c r="V1137" s="213"/>
      <c r="W1137" s="213"/>
      <c r="X1137" s="213"/>
      <c r="Y1137" s="213"/>
      <c r="Z1137" s="213"/>
      <c r="AA1137" s="213"/>
      <c r="AB1137" s="213"/>
      <c r="AC1137" s="207"/>
      <c r="AD1137"/>
      <c r="AE1137" s="206"/>
      <c r="AF1137" s="94"/>
      <c r="AG1137" s="94"/>
      <c r="AH1137" s="94"/>
      <c r="AI1137" s="94"/>
      <c r="AJ1137" s="94"/>
      <c r="AK1137" s="94"/>
      <c r="AL1137" s="94"/>
      <c r="AM1137" s="254"/>
      <c r="AN1137" s="254"/>
      <c r="AO1137" s="94"/>
      <c r="AP1137" s="94"/>
      <c r="AQ1137" s="94"/>
      <c r="AR1137" s="94"/>
      <c r="AS1137" s="207"/>
    </row>
    <row r="1138" spans="13:45" ht="12.75">
      <c r="M1138" s="104"/>
      <c r="O1138" s="206"/>
      <c r="P1138" s="94"/>
      <c r="Q1138" s="180"/>
      <c r="R1138" s="258"/>
      <c r="S1138" s="259"/>
      <c r="T1138" s="213"/>
      <c r="U1138" s="213"/>
      <c r="V1138" s="213"/>
      <c r="W1138" s="213"/>
      <c r="X1138" s="213"/>
      <c r="Y1138" s="213"/>
      <c r="Z1138" s="213"/>
      <c r="AA1138" s="213"/>
      <c r="AB1138" s="213"/>
      <c r="AC1138" s="207"/>
      <c r="AD1138"/>
      <c r="AE1138" s="206"/>
      <c r="AF1138" s="94"/>
      <c r="AG1138" s="94"/>
      <c r="AH1138" s="94"/>
      <c r="AI1138" s="94"/>
      <c r="AJ1138" s="94"/>
      <c r="AK1138" s="94"/>
      <c r="AL1138" s="94"/>
      <c r="AM1138" s="254"/>
      <c r="AN1138" s="254"/>
      <c r="AO1138" s="94"/>
      <c r="AP1138" s="94"/>
      <c r="AQ1138" s="94"/>
      <c r="AR1138" s="94"/>
      <c r="AS1138" s="207"/>
    </row>
    <row r="1139" spans="13:45" ht="12.75">
      <c r="M1139" s="104"/>
      <c r="O1139" s="206"/>
      <c r="P1139" s="94"/>
      <c r="Q1139" s="180"/>
      <c r="R1139" s="258"/>
      <c r="S1139" s="259"/>
      <c r="T1139" s="213"/>
      <c r="U1139" s="213"/>
      <c r="V1139" s="213"/>
      <c r="W1139" s="213"/>
      <c r="X1139" s="213"/>
      <c r="Y1139" s="213"/>
      <c r="Z1139" s="213"/>
      <c r="AA1139" s="213"/>
      <c r="AB1139" s="213"/>
      <c r="AC1139" s="207"/>
      <c r="AD1139"/>
      <c r="AE1139" s="206"/>
      <c r="AF1139" s="94"/>
      <c r="AG1139" s="94"/>
      <c r="AH1139" s="94"/>
      <c r="AI1139" s="94"/>
      <c r="AJ1139" s="94"/>
      <c r="AK1139" s="94"/>
      <c r="AL1139" s="94"/>
      <c r="AM1139" s="254"/>
      <c r="AN1139" s="254"/>
      <c r="AO1139" s="94"/>
      <c r="AP1139" s="94"/>
      <c r="AQ1139" s="94"/>
      <c r="AR1139" s="94"/>
      <c r="AS1139" s="207"/>
    </row>
    <row r="1140" spans="13:45" ht="12.75">
      <c r="M1140" s="104"/>
      <c r="O1140" s="206"/>
      <c r="P1140" s="94"/>
      <c r="Q1140" s="180"/>
      <c r="R1140" s="258"/>
      <c r="S1140" s="259"/>
      <c r="T1140" s="213"/>
      <c r="U1140" s="213"/>
      <c r="V1140" s="213"/>
      <c r="W1140" s="213"/>
      <c r="X1140" s="213"/>
      <c r="Y1140" s="213"/>
      <c r="Z1140" s="213"/>
      <c r="AA1140" s="213"/>
      <c r="AB1140" s="213"/>
      <c r="AC1140" s="207"/>
      <c r="AD1140"/>
      <c r="AE1140" s="206"/>
      <c r="AF1140" s="94"/>
      <c r="AG1140" s="94"/>
      <c r="AH1140" s="94"/>
      <c r="AI1140" s="94"/>
      <c r="AJ1140" s="94"/>
      <c r="AK1140" s="94"/>
      <c r="AL1140" s="94"/>
      <c r="AM1140" s="254"/>
      <c r="AN1140" s="254"/>
      <c r="AO1140" s="94"/>
      <c r="AP1140" s="94"/>
      <c r="AQ1140" s="94"/>
      <c r="AR1140" s="94"/>
      <c r="AS1140" s="207"/>
    </row>
    <row r="1141" spans="13:45" ht="12.75">
      <c r="M1141" s="104"/>
      <c r="O1141" s="206"/>
      <c r="P1141" s="94"/>
      <c r="Q1141" s="180"/>
      <c r="R1141" s="258"/>
      <c r="S1141" s="259"/>
      <c r="T1141" s="213"/>
      <c r="U1141" s="213"/>
      <c r="V1141" s="213"/>
      <c r="W1141" s="213"/>
      <c r="X1141" s="213"/>
      <c r="Y1141" s="213"/>
      <c r="Z1141" s="213"/>
      <c r="AA1141" s="213"/>
      <c r="AB1141" s="213"/>
      <c r="AC1141" s="207"/>
      <c r="AD1141"/>
      <c r="AE1141" s="206"/>
      <c r="AF1141" s="94"/>
      <c r="AG1141" s="94"/>
      <c r="AH1141" s="94"/>
      <c r="AI1141" s="94"/>
      <c r="AJ1141" s="94"/>
      <c r="AK1141" s="94"/>
      <c r="AL1141" s="94"/>
      <c r="AM1141" s="254"/>
      <c r="AN1141" s="254"/>
      <c r="AO1141" s="94"/>
      <c r="AP1141" s="94"/>
      <c r="AQ1141" s="94"/>
      <c r="AR1141" s="94"/>
      <c r="AS1141" s="207"/>
    </row>
    <row r="1142" spans="13:45" ht="12.75">
      <c r="M1142" s="104"/>
      <c r="O1142" s="206"/>
      <c r="P1142" s="94"/>
      <c r="Q1142" s="180"/>
      <c r="R1142" s="258"/>
      <c r="S1142" s="259"/>
      <c r="T1142" s="213"/>
      <c r="U1142" s="213"/>
      <c r="V1142" s="213"/>
      <c r="W1142" s="213"/>
      <c r="X1142" s="213"/>
      <c r="Y1142" s="213"/>
      <c r="Z1142" s="213"/>
      <c r="AA1142" s="213"/>
      <c r="AB1142" s="213"/>
      <c r="AC1142" s="207"/>
      <c r="AD1142"/>
      <c r="AE1142" s="206"/>
      <c r="AF1142" s="94"/>
      <c r="AG1142" s="94"/>
      <c r="AH1142" s="94"/>
      <c r="AI1142" s="94"/>
      <c r="AJ1142" s="94"/>
      <c r="AK1142" s="94"/>
      <c r="AL1142" s="94"/>
      <c r="AM1142" s="254"/>
      <c r="AN1142" s="254"/>
      <c r="AO1142" s="94"/>
      <c r="AP1142" s="94"/>
      <c r="AQ1142" s="94"/>
      <c r="AR1142" s="94"/>
      <c r="AS1142" s="207"/>
    </row>
    <row r="1143" spans="13:45" ht="12.75">
      <c r="M1143" s="104"/>
      <c r="O1143" s="206"/>
      <c r="P1143" s="94"/>
      <c r="Q1143" s="180"/>
      <c r="R1143" s="258"/>
      <c r="S1143" s="259"/>
      <c r="T1143" s="213"/>
      <c r="U1143" s="213"/>
      <c r="V1143" s="213"/>
      <c r="W1143" s="213"/>
      <c r="X1143" s="213"/>
      <c r="Y1143" s="213"/>
      <c r="Z1143" s="213"/>
      <c r="AA1143" s="213"/>
      <c r="AB1143" s="213"/>
      <c r="AC1143" s="207"/>
      <c r="AD1143"/>
      <c r="AE1143" s="206"/>
      <c r="AF1143" s="94"/>
      <c r="AG1143" s="94"/>
      <c r="AH1143" s="94"/>
      <c r="AI1143" s="94"/>
      <c r="AJ1143" s="94"/>
      <c r="AK1143" s="94"/>
      <c r="AL1143" s="94"/>
      <c r="AM1143" s="254"/>
      <c r="AN1143" s="254"/>
      <c r="AO1143" s="94"/>
      <c r="AP1143" s="94"/>
      <c r="AQ1143" s="94"/>
      <c r="AR1143" s="94"/>
      <c r="AS1143" s="207"/>
    </row>
    <row r="1144" spans="13:45" ht="12.75">
      <c r="M1144" s="104"/>
      <c r="O1144" s="206"/>
      <c r="P1144" s="94"/>
      <c r="Q1144" s="180"/>
      <c r="R1144" s="258"/>
      <c r="S1144" s="259"/>
      <c r="T1144" s="213"/>
      <c r="U1144" s="213"/>
      <c r="V1144" s="213"/>
      <c r="W1144" s="213"/>
      <c r="X1144" s="213"/>
      <c r="Y1144" s="213"/>
      <c r="Z1144" s="213"/>
      <c r="AA1144" s="213"/>
      <c r="AB1144" s="213"/>
      <c r="AC1144" s="207"/>
      <c r="AD1144"/>
      <c r="AE1144" s="206"/>
      <c r="AF1144" s="94"/>
      <c r="AG1144" s="94"/>
      <c r="AH1144" s="94"/>
      <c r="AI1144" s="94"/>
      <c r="AJ1144" s="94"/>
      <c r="AK1144" s="94"/>
      <c r="AL1144" s="94"/>
      <c r="AM1144" s="254"/>
      <c r="AN1144" s="254"/>
      <c r="AO1144" s="94"/>
      <c r="AP1144" s="94"/>
      <c r="AQ1144" s="94"/>
      <c r="AR1144" s="94"/>
      <c r="AS1144" s="207"/>
    </row>
    <row r="1145" spans="13:45" ht="12.75">
      <c r="M1145" s="104"/>
      <c r="O1145" s="206"/>
      <c r="P1145" s="94"/>
      <c r="Q1145" s="180"/>
      <c r="R1145" s="258"/>
      <c r="S1145" s="259"/>
      <c r="T1145" s="213"/>
      <c r="U1145" s="213"/>
      <c r="V1145" s="213"/>
      <c r="W1145" s="213"/>
      <c r="X1145" s="213"/>
      <c r="Y1145" s="213"/>
      <c r="Z1145" s="213"/>
      <c r="AA1145" s="213"/>
      <c r="AB1145" s="213"/>
      <c r="AC1145" s="207"/>
      <c r="AD1145"/>
      <c r="AE1145" s="206"/>
      <c r="AF1145" s="94"/>
      <c r="AG1145" s="94"/>
      <c r="AH1145" s="94"/>
      <c r="AI1145" s="94"/>
      <c r="AJ1145" s="94"/>
      <c r="AK1145" s="94"/>
      <c r="AL1145" s="94"/>
      <c r="AM1145" s="254"/>
      <c r="AN1145" s="254"/>
      <c r="AO1145" s="94"/>
      <c r="AP1145" s="94"/>
      <c r="AQ1145" s="94"/>
      <c r="AR1145" s="94"/>
      <c r="AS1145" s="207"/>
    </row>
    <row r="1146" spans="13:45" ht="12.75">
      <c r="M1146" s="104"/>
      <c r="O1146" s="206"/>
      <c r="P1146" s="94"/>
      <c r="Q1146" s="180"/>
      <c r="R1146" s="258"/>
      <c r="S1146" s="259"/>
      <c r="T1146" s="213"/>
      <c r="U1146" s="213"/>
      <c r="V1146" s="213"/>
      <c r="W1146" s="213"/>
      <c r="X1146" s="213"/>
      <c r="Y1146" s="213"/>
      <c r="Z1146" s="213"/>
      <c r="AA1146" s="213"/>
      <c r="AB1146" s="213"/>
      <c r="AC1146" s="207"/>
      <c r="AD1146"/>
      <c r="AE1146" s="206"/>
      <c r="AF1146" s="94"/>
      <c r="AG1146" s="94"/>
      <c r="AH1146" s="94"/>
      <c r="AI1146" s="94"/>
      <c r="AJ1146" s="94"/>
      <c r="AK1146" s="94"/>
      <c r="AL1146" s="94"/>
      <c r="AM1146" s="254"/>
      <c r="AN1146" s="254"/>
      <c r="AO1146" s="94"/>
      <c r="AP1146" s="94"/>
      <c r="AQ1146" s="94"/>
      <c r="AR1146" s="94"/>
      <c r="AS1146" s="207"/>
    </row>
    <row r="1147" spans="13:45" ht="12.75">
      <c r="M1147" s="104"/>
      <c r="O1147" s="206"/>
      <c r="P1147" s="94"/>
      <c r="Q1147" s="180"/>
      <c r="R1147" s="258"/>
      <c r="S1147" s="259"/>
      <c r="T1147" s="213"/>
      <c r="U1147" s="213"/>
      <c r="V1147" s="213"/>
      <c r="W1147" s="213"/>
      <c r="X1147" s="213"/>
      <c r="Y1147" s="213"/>
      <c r="Z1147" s="213"/>
      <c r="AA1147" s="213"/>
      <c r="AB1147" s="213"/>
      <c r="AC1147" s="207"/>
      <c r="AD1147"/>
      <c r="AE1147" s="206"/>
      <c r="AF1147" s="94"/>
      <c r="AG1147" s="94"/>
      <c r="AH1147" s="94"/>
      <c r="AI1147" s="94"/>
      <c r="AJ1147" s="94"/>
      <c r="AK1147" s="94"/>
      <c r="AL1147" s="94"/>
      <c r="AM1147" s="254"/>
      <c r="AN1147" s="254"/>
      <c r="AO1147" s="94"/>
      <c r="AP1147" s="94"/>
      <c r="AQ1147" s="94"/>
      <c r="AR1147" s="94"/>
      <c r="AS1147" s="207"/>
    </row>
    <row r="1148" spans="13:45" ht="12.75">
      <c r="M1148" s="104"/>
      <c r="O1148" s="206"/>
      <c r="P1148" s="94"/>
      <c r="Q1148" s="180"/>
      <c r="R1148" s="258"/>
      <c r="S1148" s="259"/>
      <c r="T1148" s="213"/>
      <c r="U1148" s="213"/>
      <c r="V1148" s="213"/>
      <c r="W1148" s="213"/>
      <c r="X1148" s="213"/>
      <c r="Y1148" s="213"/>
      <c r="Z1148" s="213"/>
      <c r="AA1148" s="213"/>
      <c r="AB1148" s="213"/>
      <c r="AC1148" s="207"/>
      <c r="AD1148"/>
      <c r="AE1148" s="206"/>
      <c r="AF1148" s="94"/>
      <c r="AG1148" s="94"/>
      <c r="AH1148" s="94"/>
      <c r="AI1148" s="94"/>
      <c r="AJ1148" s="94"/>
      <c r="AK1148" s="94"/>
      <c r="AL1148" s="94"/>
      <c r="AM1148" s="254"/>
      <c r="AN1148" s="254"/>
      <c r="AO1148" s="94"/>
      <c r="AP1148" s="94"/>
      <c r="AQ1148" s="94"/>
      <c r="AR1148" s="94"/>
      <c r="AS1148" s="207"/>
    </row>
    <row r="1149" spans="13:45" ht="12.75">
      <c r="M1149" s="104"/>
      <c r="O1149" s="206"/>
      <c r="P1149" s="94"/>
      <c r="Q1149" s="180"/>
      <c r="R1149" s="258"/>
      <c r="S1149" s="259"/>
      <c r="T1149" s="213"/>
      <c r="U1149" s="213"/>
      <c r="V1149" s="213"/>
      <c r="W1149" s="213"/>
      <c r="X1149" s="213"/>
      <c r="Y1149" s="213"/>
      <c r="Z1149" s="213"/>
      <c r="AA1149" s="213"/>
      <c r="AB1149" s="213"/>
      <c r="AC1149" s="207"/>
      <c r="AD1149"/>
      <c r="AE1149" s="206"/>
      <c r="AF1149" s="94"/>
      <c r="AG1149" s="94"/>
      <c r="AH1149" s="94"/>
      <c r="AI1149" s="94"/>
      <c r="AJ1149" s="94"/>
      <c r="AK1149" s="94"/>
      <c r="AL1149" s="94"/>
      <c r="AM1149" s="254"/>
      <c r="AN1149" s="254"/>
      <c r="AO1149" s="94"/>
      <c r="AP1149" s="94"/>
      <c r="AQ1149" s="94"/>
      <c r="AR1149" s="94"/>
      <c r="AS1149" s="207"/>
    </row>
    <row r="1150" spans="13:45" ht="12.75">
      <c r="M1150" s="104"/>
      <c r="O1150" s="206"/>
      <c r="P1150" s="94"/>
      <c r="Q1150" s="180"/>
      <c r="R1150" s="258"/>
      <c r="S1150" s="259"/>
      <c r="T1150" s="213"/>
      <c r="U1150" s="213"/>
      <c r="V1150" s="213"/>
      <c r="W1150" s="213"/>
      <c r="X1150" s="213"/>
      <c r="Y1150" s="213"/>
      <c r="Z1150" s="213"/>
      <c r="AA1150" s="213"/>
      <c r="AB1150" s="213"/>
      <c r="AC1150" s="207"/>
      <c r="AD1150"/>
      <c r="AE1150" s="206"/>
      <c r="AF1150" s="94"/>
      <c r="AG1150" s="94"/>
      <c r="AH1150" s="94"/>
      <c r="AI1150" s="94"/>
      <c r="AJ1150" s="94"/>
      <c r="AK1150" s="94"/>
      <c r="AL1150" s="94"/>
      <c r="AM1150" s="254"/>
      <c r="AN1150" s="254"/>
      <c r="AO1150" s="94"/>
      <c r="AP1150" s="94"/>
      <c r="AQ1150" s="94"/>
      <c r="AR1150" s="94"/>
      <c r="AS1150" s="207"/>
    </row>
    <row r="1151" spans="13:45" ht="12.75">
      <c r="M1151" s="104"/>
      <c r="O1151" s="206"/>
      <c r="P1151" s="94"/>
      <c r="Q1151" s="180"/>
      <c r="R1151" s="258"/>
      <c r="S1151" s="259"/>
      <c r="T1151" s="213"/>
      <c r="U1151" s="213"/>
      <c r="V1151" s="213"/>
      <c r="W1151" s="213"/>
      <c r="X1151" s="213"/>
      <c r="Y1151" s="213"/>
      <c r="Z1151" s="213"/>
      <c r="AA1151" s="213"/>
      <c r="AB1151" s="213"/>
      <c r="AC1151" s="207"/>
      <c r="AD1151"/>
      <c r="AE1151" s="206"/>
      <c r="AF1151" s="94"/>
      <c r="AG1151" s="94"/>
      <c r="AH1151" s="94"/>
      <c r="AI1151" s="94"/>
      <c r="AJ1151" s="94"/>
      <c r="AK1151" s="94"/>
      <c r="AL1151" s="94"/>
      <c r="AM1151" s="254"/>
      <c r="AN1151" s="254"/>
      <c r="AO1151" s="94"/>
      <c r="AP1151" s="94"/>
      <c r="AQ1151" s="94"/>
      <c r="AR1151" s="94"/>
      <c r="AS1151" s="207"/>
    </row>
    <row r="1152" spans="13:45" ht="12.75">
      <c r="M1152" s="104"/>
      <c r="O1152" s="206"/>
      <c r="P1152" s="94"/>
      <c r="Q1152" s="180"/>
      <c r="R1152" s="258"/>
      <c r="S1152" s="259"/>
      <c r="T1152" s="213"/>
      <c r="U1152" s="213"/>
      <c r="V1152" s="213"/>
      <c r="W1152" s="213"/>
      <c r="X1152" s="213"/>
      <c r="Y1152" s="213"/>
      <c r="Z1152" s="213"/>
      <c r="AA1152" s="213"/>
      <c r="AB1152" s="213"/>
      <c r="AC1152" s="207"/>
      <c r="AD1152"/>
      <c r="AE1152" s="206"/>
      <c r="AF1152" s="94"/>
      <c r="AG1152" s="94"/>
      <c r="AH1152" s="94"/>
      <c r="AI1152" s="94"/>
      <c r="AJ1152" s="94"/>
      <c r="AK1152" s="94"/>
      <c r="AL1152" s="94"/>
      <c r="AM1152" s="254"/>
      <c r="AN1152" s="254"/>
      <c r="AO1152" s="94"/>
      <c r="AP1152" s="94"/>
      <c r="AQ1152" s="94"/>
      <c r="AR1152" s="94"/>
      <c r="AS1152" s="207"/>
    </row>
    <row r="1153" spans="13:45" ht="12.75">
      <c r="M1153" s="104"/>
      <c r="O1153" s="206"/>
      <c r="P1153" s="94"/>
      <c r="Q1153" s="180"/>
      <c r="R1153" s="258"/>
      <c r="S1153" s="259"/>
      <c r="T1153" s="213"/>
      <c r="U1153" s="213"/>
      <c r="V1153" s="213"/>
      <c r="W1153" s="213"/>
      <c r="X1153" s="213"/>
      <c r="Y1153" s="213"/>
      <c r="Z1153" s="213"/>
      <c r="AA1153" s="213"/>
      <c r="AB1153" s="213"/>
      <c r="AC1153" s="207"/>
      <c r="AD1153"/>
      <c r="AE1153" s="206"/>
      <c r="AF1153" s="94"/>
      <c r="AG1153" s="94"/>
      <c r="AH1153" s="94"/>
      <c r="AI1153" s="94"/>
      <c r="AJ1153" s="94"/>
      <c r="AK1153" s="94"/>
      <c r="AL1153" s="94"/>
      <c r="AM1153" s="254"/>
      <c r="AN1153" s="254"/>
      <c r="AO1153" s="94"/>
      <c r="AP1153" s="94"/>
      <c r="AQ1153" s="94"/>
      <c r="AR1153" s="94"/>
      <c r="AS1153" s="207"/>
    </row>
    <row r="1154" spans="13:45" ht="12.75">
      <c r="M1154" s="104"/>
      <c r="O1154" s="206"/>
      <c r="P1154" s="94"/>
      <c r="Q1154" s="180"/>
      <c r="R1154" s="258"/>
      <c r="S1154" s="259"/>
      <c r="T1154" s="213"/>
      <c r="U1154" s="213"/>
      <c r="V1154" s="213"/>
      <c r="W1154" s="213"/>
      <c r="X1154" s="213"/>
      <c r="Y1154" s="213"/>
      <c r="Z1154" s="213"/>
      <c r="AA1154" s="213"/>
      <c r="AB1154" s="213"/>
      <c r="AC1154" s="207"/>
      <c r="AD1154"/>
      <c r="AE1154" s="206"/>
      <c r="AF1154" s="94"/>
      <c r="AG1154" s="94"/>
      <c r="AH1154" s="94"/>
      <c r="AI1154" s="94"/>
      <c r="AJ1154" s="94"/>
      <c r="AK1154" s="94"/>
      <c r="AL1154" s="94"/>
      <c r="AM1154" s="254"/>
      <c r="AN1154" s="254"/>
      <c r="AO1154" s="94"/>
      <c r="AP1154" s="94"/>
      <c r="AQ1154" s="94"/>
      <c r="AR1154" s="94"/>
      <c r="AS1154" s="207"/>
    </row>
    <row r="1155" spans="13:45" ht="12.75">
      <c r="M1155" s="104"/>
      <c r="O1155" s="206"/>
      <c r="P1155" s="94"/>
      <c r="Q1155" s="180"/>
      <c r="R1155" s="258"/>
      <c r="S1155" s="259"/>
      <c r="T1155" s="213"/>
      <c r="U1155" s="213"/>
      <c r="V1155" s="213"/>
      <c r="W1155" s="213"/>
      <c r="X1155" s="213"/>
      <c r="Y1155" s="213"/>
      <c r="Z1155" s="213"/>
      <c r="AA1155" s="213"/>
      <c r="AB1155" s="213"/>
      <c r="AC1155" s="207"/>
      <c r="AD1155"/>
      <c r="AE1155" s="206"/>
      <c r="AF1155" s="94"/>
      <c r="AG1155" s="94"/>
      <c r="AH1155" s="94"/>
      <c r="AI1155" s="94"/>
      <c r="AJ1155" s="94"/>
      <c r="AK1155" s="94"/>
      <c r="AL1155" s="94"/>
      <c r="AM1155" s="254"/>
      <c r="AN1155" s="254"/>
      <c r="AO1155" s="94"/>
      <c r="AP1155" s="94"/>
      <c r="AQ1155" s="94"/>
      <c r="AR1155" s="94"/>
      <c r="AS1155" s="207"/>
    </row>
    <row r="1156" spans="13:45" ht="12.75">
      <c r="M1156" s="104"/>
      <c r="O1156" s="206"/>
      <c r="P1156" s="94"/>
      <c r="Q1156" s="180"/>
      <c r="R1156" s="258"/>
      <c r="S1156" s="259"/>
      <c r="T1156" s="213"/>
      <c r="U1156" s="213"/>
      <c r="V1156" s="213"/>
      <c r="W1156" s="213"/>
      <c r="X1156" s="213"/>
      <c r="Y1156" s="213"/>
      <c r="Z1156" s="213"/>
      <c r="AA1156" s="213"/>
      <c r="AB1156" s="213"/>
      <c r="AC1156" s="207"/>
      <c r="AD1156"/>
      <c r="AE1156" s="206"/>
      <c r="AF1156" s="94"/>
      <c r="AG1156" s="94"/>
      <c r="AH1156" s="94"/>
      <c r="AI1156" s="94"/>
      <c r="AJ1156" s="94"/>
      <c r="AK1156" s="94"/>
      <c r="AL1156" s="94"/>
      <c r="AM1156" s="254"/>
      <c r="AN1156" s="254"/>
      <c r="AO1156" s="94"/>
      <c r="AP1156" s="94"/>
      <c r="AQ1156" s="94"/>
      <c r="AR1156" s="94"/>
      <c r="AS1156" s="207"/>
    </row>
    <row r="1157" spans="13:45" ht="12.75">
      <c r="M1157" s="104"/>
      <c r="O1157" s="206"/>
      <c r="P1157" s="94"/>
      <c r="Q1157" s="180"/>
      <c r="R1157" s="258"/>
      <c r="S1157" s="259"/>
      <c r="T1157" s="213"/>
      <c r="U1157" s="213"/>
      <c r="V1157" s="213"/>
      <c r="W1157" s="213"/>
      <c r="X1157" s="213"/>
      <c r="Y1157" s="213"/>
      <c r="Z1157" s="213"/>
      <c r="AA1157" s="213"/>
      <c r="AB1157" s="213"/>
      <c r="AC1157" s="207"/>
      <c r="AD1157"/>
      <c r="AE1157" s="206"/>
      <c r="AF1157" s="94"/>
      <c r="AG1157" s="94"/>
      <c r="AH1157" s="94"/>
      <c r="AI1157" s="94"/>
      <c r="AJ1157" s="94"/>
      <c r="AK1157" s="94"/>
      <c r="AL1157" s="94"/>
      <c r="AM1157" s="254"/>
      <c r="AN1157" s="254"/>
      <c r="AO1157" s="94"/>
      <c r="AP1157" s="94"/>
      <c r="AQ1157" s="94"/>
      <c r="AR1157" s="94"/>
      <c r="AS1157" s="207"/>
    </row>
    <row r="1158" spans="13:45" ht="12.75">
      <c r="M1158" s="104"/>
      <c r="O1158" s="206"/>
      <c r="P1158" s="94"/>
      <c r="Q1158" s="180"/>
      <c r="R1158" s="258"/>
      <c r="S1158" s="259"/>
      <c r="T1158" s="213"/>
      <c r="U1158" s="213"/>
      <c r="V1158" s="213"/>
      <c r="W1158" s="213"/>
      <c r="X1158" s="213"/>
      <c r="Y1158" s="213"/>
      <c r="Z1158" s="213"/>
      <c r="AA1158" s="213"/>
      <c r="AB1158" s="213"/>
      <c r="AC1158" s="207"/>
      <c r="AD1158"/>
      <c r="AE1158" s="206"/>
      <c r="AF1158" s="94"/>
      <c r="AG1158" s="94"/>
      <c r="AH1158" s="94"/>
      <c r="AI1158" s="94"/>
      <c r="AJ1158" s="94"/>
      <c r="AK1158" s="94"/>
      <c r="AL1158" s="94"/>
      <c r="AM1158" s="254"/>
      <c r="AN1158" s="254"/>
      <c r="AO1158" s="94"/>
      <c r="AP1158" s="94"/>
      <c r="AQ1158" s="94"/>
      <c r="AR1158" s="94"/>
      <c r="AS1158" s="207"/>
    </row>
    <row r="1159" spans="13:45" ht="12.75">
      <c r="M1159" s="104"/>
      <c r="O1159" s="206"/>
      <c r="P1159" s="94"/>
      <c r="Q1159" s="180"/>
      <c r="R1159" s="258"/>
      <c r="S1159" s="259"/>
      <c r="T1159" s="213"/>
      <c r="U1159" s="213"/>
      <c r="V1159" s="213"/>
      <c r="W1159" s="213"/>
      <c r="X1159" s="213"/>
      <c r="Y1159" s="213"/>
      <c r="Z1159" s="213"/>
      <c r="AA1159" s="213"/>
      <c r="AB1159" s="213"/>
      <c r="AC1159" s="207"/>
      <c r="AD1159"/>
      <c r="AE1159" s="206"/>
      <c r="AF1159" s="94"/>
      <c r="AG1159" s="94"/>
      <c r="AH1159" s="94"/>
      <c r="AI1159" s="94"/>
      <c r="AJ1159" s="94"/>
      <c r="AK1159" s="94"/>
      <c r="AL1159" s="94"/>
      <c r="AM1159" s="254"/>
      <c r="AN1159" s="254"/>
      <c r="AO1159" s="94"/>
      <c r="AP1159" s="94"/>
      <c r="AQ1159" s="94"/>
      <c r="AR1159" s="94"/>
      <c r="AS1159" s="207"/>
    </row>
    <row r="1160" spans="13:45" ht="12.75">
      <c r="M1160" s="104"/>
      <c r="O1160" s="206"/>
      <c r="P1160" s="94"/>
      <c r="Q1160" s="180"/>
      <c r="R1160" s="258"/>
      <c r="S1160" s="259"/>
      <c r="T1160" s="213"/>
      <c r="U1160" s="213"/>
      <c r="V1160" s="213"/>
      <c r="W1160" s="213"/>
      <c r="X1160" s="213"/>
      <c r="Y1160" s="213"/>
      <c r="Z1160" s="213"/>
      <c r="AA1160" s="213"/>
      <c r="AB1160" s="213"/>
      <c r="AC1160" s="207"/>
      <c r="AD1160"/>
      <c r="AE1160" s="206"/>
      <c r="AF1160" s="94"/>
      <c r="AG1160" s="94"/>
      <c r="AH1160" s="94"/>
      <c r="AI1160" s="94"/>
      <c r="AJ1160" s="94"/>
      <c r="AK1160" s="94"/>
      <c r="AL1160" s="94"/>
      <c r="AM1160" s="254"/>
      <c r="AN1160" s="254"/>
      <c r="AO1160" s="94"/>
      <c r="AP1160" s="94"/>
      <c r="AQ1160" s="94"/>
      <c r="AR1160" s="94"/>
      <c r="AS1160" s="207"/>
    </row>
    <row r="1161" spans="13:45" ht="12.75">
      <c r="M1161" s="104"/>
      <c r="O1161" s="206"/>
      <c r="P1161" s="94"/>
      <c r="Q1161" s="180"/>
      <c r="R1161" s="258"/>
      <c r="S1161" s="259"/>
      <c r="T1161" s="213"/>
      <c r="U1161" s="213"/>
      <c r="V1161" s="213"/>
      <c r="W1161" s="213"/>
      <c r="X1161" s="213"/>
      <c r="Y1161" s="213"/>
      <c r="Z1161" s="213"/>
      <c r="AA1161" s="213"/>
      <c r="AB1161" s="213"/>
      <c r="AC1161" s="207"/>
      <c r="AD1161"/>
      <c r="AE1161" s="206"/>
      <c r="AF1161" s="94"/>
      <c r="AG1161" s="94"/>
      <c r="AH1161" s="94"/>
      <c r="AI1161" s="94"/>
      <c r="AJ1161" s="94"/>
      <c r="AK1161" s="94"/>
      <c r="AL1161" s="94"/>
      <c r="AM1161" s="254"/>
      <c r="AN1161" s="254"/>
      <c r="AO1161" s="94"/>
      <c r="AP1161" s="94"/>
      <c r="AQ1161" s="94"/>
      <c r="AR1161" s="94"/>
      <c r="AS1161" s="207"/>
    </row>
    <row r="1162" spans="13:45" ht="12.75">
      <c r="M1162" s="104"/>
      <c r="O1162" s="206"/>
      <c r="P1162" s="94"/>
      <c r="Q1162" s="180"/>
      <c r="R1162" s="258"/>
      <c r="S1162" s="259"/>
      <c r="T1162" s="213"/>
      <c r="U1162" s="213"/>
      <c r="V1162" s="213"/>
      <c r="W1162" s="213"/>
      <c r="X1162" s="213"/>
      <c r="Y1162" s="213"/>
      <c r="Z1162" s="213"/>
      <c r="AA1162" s="213"/>
      <c r="AB1162" s="213"/>
      <c r="AC1162" s="207"/>
      <c r="AD1162"/>
      <c r="AE1162" s="206"/>
      <c r="AF1162" s="94"/>
      <c r="AG1162" s="94"/>
      <c r="AH1162" s="94"/>
      <c r="AI1162" s="94"/>
      <c r="AJ1162" s="94"/>
      <c r="AK1162" s="94"/>
      <c r="AL1162" s="94"/>
      <c r="AM1162" s="254"/>
      <c r="AN1162" s="254"/>
      <c r="AO1162" s="94"/>
      <c r="AP1162" s="94"/>
      <c r="AQ1162" s="94"/>
      <c r="AR1162" s="94"/>
      <c r="AS1162" s="207"/>
    </row>
    <row r="1163" spans="13:45" ht="12.75">
      <c r="M1163" s="104"/>
      <c r="O1163" s="206"/>
      <c r="P1163" s="94"/>
      <c r="Q1163" s="180"/>
      <c r="R1163" s="258"/>
      <c r="S1163" s="259"/>
      <c r="T1163" s="213"/>
      <c r="U1163" s="213"/>
      <c r="V1163" s="213"/>
      <c r="W1163" s="213"/>
      <c r="X1163" s="213"/>
      <c r="Y1163" s="213"/>
      <c r="Z1163" s="213"/>
      <c r="AA1163" s="213"/>
      <c r="AB1163" s="213"/>
      <c r="AC1163" s="207"/>
      <c r="AD1163"/>
      <c r="AE1163" s="206"/>
      <c r="AF1163" s="94"/>
      <c r="AG1163" s="94"/>
      <c r="AH1163" s="94"/>
      <c r="AI1163" s="94"/>
      <c r="AJ1163" s="94"/>
      <c r="AK1163" s="94"/>
      <c r="AL1163" s="94"/>
      <c r="AM1163" s="254"/>
      <c r="AN1163" s="254"/>
      <c r="AO1163" s="94"/>
      <c r="AP1163" s="94"/>
      <c r="AQ1163" s="94"/>
      <c r="AR1163" s="94"/>
      <c r="AS1163" s="207"/>
    </row>
    <row r="1164" spans="13:45" ht="12.75">
      <c r="M1164" s="104"/>
      <c r="O1164" s="206"/>
      <c r="P1164" s="94"/>
      <c r="Q1164" s="180"/>
      <c r="R1164" s="258"/>
      <c r="S1164" s="259"/>
      <c r="T1164" s="213"/>
      <c r="U1164" s="213"/>
      <c r="V1164" s="213"/>
      <c r="W1164" s="213"/>
      <c r="X1164" s="213"/>
      <c r="Y1164" s="213"/>
      <c r="Z1164" s="213"/>
      <c r="AA1164" s="213"/>
      <c r="AB1164" s="213"/>
      <c r="AC1164" s="207"/>
      <c r="AD1164"/>
      <c r="AE1164" s="206"/>
      <c r="AF1164" s="94"/>
      <c r="AG1164" s="94"/>
      <c r="AH1164" s="94"/>
      <c r="AI1164" s="94"/>
      <c r="AJ1164" s="94"/>
      <c r="AK1164" s="94"/>
      <c r="AL1164" s="94"/>
      <c r="AM1164" s="254"/>
      <c r="AN1164" s="254"/>
      <c r="AO1164" s="94"/>
      <c r="AP1164" s="94"/>
      <c r="AQ1164" s="94"/>
      <c r="AR1164" s="94"/>
      <c r="AS1164" s="207"/>
    </row>
    <row r="1165" spans="13:45" ht="12.75">
      <c r="M1165" s="104"/>
      <c r="O1165" s="206"/>
      <c r="P1165" s="94"/>
      <c r="Q1165" s="180"/>
      <c r="R1165" s="258"/>
      <c r="S1165" s="259"/>
      <c r="T1165" s="213"/>
      <c r="U1165" s="213"/>
      <c r="V1165" s="213"/>
      <c r="W1165" s="213"/>
      <c r="X1165" s="213"/>
      <c r="Y1165" s="213"/>
      <c r="Z1165" s="213"/>
      <c r="AA1165" s="213"/>
      <c r="AB1165" s="213"/>
      <c r="AC1165" s="207"/>
      <c r="AD1165"/>
      <c r="AE1165" s="206"/>
      <c r="AF1165" s="94"/>
      <c r="AG1165" s="94"/>
      <c r="AH1165" s="94"/>
      <c r="AI1165" s="94"/>
      <c r="AJ1165" s="94"/>
      <c r="AK1165" s="94"/>
      <c r="AL1165" s="94"/>
      <c r="AM1165" s="254"/>
      <c r="AN1165" s="254"/>
      <c r="AO1165" s="94"/>
      <c r="AP1165" s="94"/>
      <c r="AQ1165" s="94"/>
      <c r="AR1165" s="94"/>
      <c r="AS1165" s="207"/>
    </row>
    <row r="1166" spans="13:45" ht="12.75">
      <c r="M1166" s="104"/>
      <c r="O1166" s="206"/>
      <c r="P1166" s="94"/>
      <c r="Q1166" s="180"/>
      <c r="R1166" s="258"/>
      <c r="S1166" s="259"/>
      <c r="T1166" s="213"/>
      <c r="U1166" s="213"/>
      <c r="V1166" s="213"/>
      <c r="W1166" s="213"/>
      <c r="X1166" s="213"/>
      <c r="Y1166" s="213"/>
      <c r="Z1166" s="213"/>
      <c r="AA1166" s="213"/>
      <c r="AB1166" s="213"/>
      <c r="AC1166" s="207"/>
      <c r="AD1166"/>
      <c r="AE1166" s="206"/>
      <c r="AF1166" s="94"/>
      <c r="AG1166" s="94"/>
      <c r="AH1166" s="94"/>
      <c r="AI1166" s="94"/>
      <c r="AJ1166" s="94"/>
      <c r="AK1166" s="94"/>
      <c r="AL1166" s="94"/>
      <c r="AM1166" s="254"/>
      <c r="AN1166" s="254"/>
      <c r="AO1166" s="94"/>
      <c r="AP1166" s="94"/>
      <c r="AQ1166" s="94"/>
      <c r="AR1166" s="94"/>
      <c r="AS1166" s="207"/>
    </row>
    <row r="1167" spans="13:45" ht="12.75">
      <c r="M1167" s="104"/>
      <c r="O1167" s="206"/>
      <c r="P1167" s="94"/>
      <c r="Q1167" s="180"/>
      <c r="R1167" s="258"/>
      <c r="S1167" s="259"/>
      <c r="T1167" s="213"/>
      <c r="U1167" s="213"/>
      <c r="V1167" s="213"/>
      <c r="W1167" s="213"/>
      <c r="X1167" s="213"/>
      <c r="Y1167" s="213"/>
      <c r="Z1167" s="213"/>
      <c r="AA1167" s="213"/>
      <c r="AB1167" s="213"/>
      <c r="AC1167" s="207"/>
      <c r="AD1167"/>
      <c r="AE1167" s="206"/>
      <c r="AF1167" s="94"/>
      <c r="AG1167" s="94"/>
      <c r="AH1167" s="94"/>
      <c r="AI1167" s="94"/>
      <c r="AJ1167" s="94"/>
      <c r="AK1167" s="94"/>
      <c r="AL1167" s="94"/>
      <c r="AM1167" s="254"/>
      <c r="AN1167" s="254"/>
      <c r="AO1167" s="94"/>
      <c r="AP1167" s="94"/>
      <c r="AQ1167" s="94"/>
      <c r="AR1167" s="94"/>
      <c r="AS1167" s="207"/>
    </row>
    <row r="1168" spans="13:45" ht="12.75">
      <c r="M1168" s="104"/>
      <c r="O1168" s="206"/>
      <c r="P1168" s="94"/>
      <c r="Q1168" s="180"/>
      <c r="R1168" s="258"/>
      <c r="S1168" s="259"/>
      <c r="T1168" s="213"/>
      <c r="U1168" s="213"/>
      <c r="V1168" s="213"/>
      <c r="W1168" s="213"/>
      <c r="X1168" s="213"/>
      <c r="Y1168" s="213"/>
      <c r="Z1168" s="213"/>
      <c r="AA1168" s="213"/>
      <c r="AB1168" s="213"/>
      <c r="AC1168" s="207"/>
      <c r="AD1168"/>
      <c r="AE1168" s="206"/>
      <c r="AF1168" s="94"/>
      <c r="AG1168" s="94"/>
      <c r="AH1168" s="94"/>
      <c r="AI1168" s="94"/>
      <c r="AJ1168" s="94"/>
      <c r="AK1168" s="94"/>
      <c r="AL1168" s="94"/>
      <c r="AM1168" s="254"/>
      <c r="AN1168" s="254"/>
      <c r="AO1168" s="94"/>
      <c r="AP1168" s="94"/>
      <c r="AQ1168" s="94"/>
      <c r="AR1168" s="94"/>
      <c r="AS1168" s="207"/>
    </row>
    <row r="1169" spans="13:45" ht="12.75">
      <c r="M1169" s="104"/>
      <c r="O1169" s="206"/>
      <c r="P1169" s="94"/>
      <c r="Q1169" s="180"/>
      <c r="R1169" s="258"/>
      <c r="S1169" s="259"/>
      <c r="T1169" s="213"/>
      <c r="U1169" s="213"/>
      <c r="V1169" s="213"/>
      <c r="W1169" s="213"/>
      <c r="X1169" s="213"/>
      <c r="Y1169" s="213"/>
      <c r="Z1169" s="213"/>
      <c r="AA1169" s="213"/>
      <c r="AB1169" s="213"/>
      <c r="AC1169" s="207"/>
      <c r="AD1169"/>
      <c r="AE1169" s="206"/>
      <c r="AF1169" s="94"/>
      <c r="AG1169" s="94"/>
      <c r="AH1169" s="94"/>
      <c r="AI1169" s="94"/>
      <c r="AJ1169" s="94"/>
      <c r="AK1169" s="94"/>
      <c r="AL1169" s="94"/>
      <c r="AM1169" s="254"/>
      <c r="AN1169" s="254"/>
      <c r="AO1169" s="94"/>
      <c r="AP1169" s="94"/>
      <c r="AQ1169" s="94"/>
      <c r="AR1169" s="94"/>
      <c r="AS1169" s="207"/>
    </row>
    <row r="1170" spans="13:45" ht="12.75">
      <c r="M1170" s="104"/>
      <c r="O1170" s="206"/>
      <c r="P1170" s="94"/>
      <c r="Q1170" s="180"/>
      <c r="R1170" s="258"/>
      <c r="S1170" s="259"/>
      <c r="T1170" s="213"/>
      <c r="U1170" s="213"/>
      <c r="V1170" s="213"/>
      <c r="W1170" s="213"/>
      <c r="X1170" s="213"/>
      <c r="Y1170" s="213"/>
      <c r="Z1170" s="213"/>
      <c r="AA1170" s="213"/>
      <c r="AB1170" s="213"/>
      <c r="AC1170" s="207"/>
      <c r="AD1170"/>
      <c r="AE1170" s="206"/>
      <c r="AF1170" s="94"/>
      <c r="AG1170" s="94"/>
      <c r="AH1170" s="94"/>
      <c r="AI1170" s="94"/>
      <c r="AJ1170" s="94"/>
      <c r="AK1170" s="94"/>
      <c r="AL1170" s="94"/>
      <c r="AM1170" s="254"/>
      <c r="AN1170" s="254"/>
      <c r="AO1170" s="94"/>
      <c r="AP1170" s="94"/>
      <c r="AQ1170" s="94"/>
      <c r="AR1170" s="94"/>
      <c r="AS1170" s="207"/>
    </row>
    <row r="1171" spans="13:45" ht="12.75">
      <c r="M1171" s="104"/>
      <c r="O1171" s="206"/>
      <c r="P1171" s="94"/>
      <c r="Q1171" s="180"/>
      <c r="R1171" s="258"/>
      <c r="S1171" s="259"/>
      <c r="T1171" s="213"/>
      <c r="U1171" s="213"/>
      <c r="V1171" s="213"/>
      <c r="W1171" s="213"/>
      <c r="X1171" s="213"/>
      <c r="Y1171" s="213"/>
      <c r="Z1171" s="213"/>
      <c r="AA1171" s="213"/>
      <c r="AB1171" s="213"/>
      <c r="AC1171" s="207"/>
      <c r="AD1171"/>
      <c r="AE1171" s="206"/>
      <c r="AF1171" s="94"/>
      <c r="AG1171" s="94"/>
      <c r="AH1171" s="94"/>
      <c r="AI1171" s="94"/>
      <c r="AJ1171" s="94"/>
      <c r="AK1171" s="94"/>
      <c r="AL1171" s="94"/>
      <c r="AM1171" s="254"/>
      <c r="AN1171" s="254"/>
      <c r="AO1171" s="94"/>
      <c r="AP1171" s="94"/>
      <c r="AQ1171" s="94"/>
      <c r="AR1171" s="94"/>
      <c r="AS1171" s="207"/>
    </row>
    <row r="1172" spans="13:45" ht="12.75">
      <c r="M1172" s="104"/>
      <c r="O1172" s="206"/>
      <c r="P1172" s="94"/>
      <c r="Q1172" s="180"/>
      <c r="R1172" s="258"/>
      <c r="S1172" s="259"/>
      <c r="T1172" s="213"/>
      <c r="U1172" s="213"/>
      <c r="V1172" s="213"/>
      <c r="W1172" s="213"/>
      <c r="X1172" s="213"/>
      <c r="Y1172" s="213"/>
      <c r="Z1172" s="213"/>
      <c r="AA1172" s="213"/>
      <c r="AB1172" s="213"/>
      <c r="AC1172" s="207"/>
      <c r="AD1172"/>
      <c r="AE1172" s="206"/>
      <c r="AF1172" s="94"/>
      <c r="AG1172" s="94"/>
      <c r="AH1172" s="94"/>
      <c r="AI1172" s="94"/>
      <c r="AJ1172" s="94"/>
      <c r="AK1172" s="94"/>
      <c r="AL1172" s="94"/>
      <c r="AM1172" s="254"/>
      <c r="AN1172" s="254"/>
      <c r="AO1172" s="94"/>
      <c r="AP1172" s="94"/>
      <c r="AQ1172" s="94"/>
      <c r="AR1172" s="94"/>
      <c r="AS1172" s="207"/>
    </row>
    <row r="1173" spans="13:45" ht="12.75">
      <c r="M1173" s="104"/>
      <c r="O1173" s="206"/>
      <c r="P1173" s="94"/>
      <c r="Q1173" s="180"/>
      <c r="R1173" s="258"/>
      <c r="S1173" s="259"/>
      <c r="T1173" s="213"/>
      <c r="U1173" s="213"/>
      <c r="V1173" s="213"/>
      <c r="W1173" s="213"/>
      <c r="X1173" s="213"/>
      <c r="Y1173" s="213"/>
      <c r="Z1173" s="213"/>
      <c r="AA1173" s="213"/>
      <c r="AB1173" s="213"/>
      <c r="AC1173" s="207"/>
      <c r="AD1173"/>
      <c r="AE1173" s="206"/>
      <c r="AF1173" s="94"/>
      <c r="AG1173" s="94"/>
      <c r="AH1173" s="94"/>
      <c r="AI1173" s="94"/>
      <c r="AJ1173" s="94"/>
      <c r="AK1173" s="94"/>
      <c r="AL1173" s="94"/>
      <c r="AM1173" s="254"/>
      <c r="AN1173" s="254"/>
      <c r="AO1173" s="94"/>
      <c r="AP1173" s="94"/>
      <c r="AQ1173" s="94"/>
      <c r="AR1173" s="94"/>
      <c r="AS1173" s="207"/>
    </row>
    <row r="1174" spans="13:45" ht="12.75">
      <c r="M1174" s="104"/>
      <c r="O1174" s="206"/>
      <c r="P1174" s="94"/>
      <c r="Q1174" s="180"/>
      <c r="R1174" s="258"/>
      <c r="S1174" s="259"/>
      <c r="T1174" s="213"/>
      <c r="U1174" s="213"/>
      <c r="V1174" s="213"/>
      <c r="W1174" s="213"/>
      <c r="X1174" s="213"/>
      <c r="Y1174" s="213"/>
      <c r="Z1174" s="213"/>
      <c r="AA1174" s="213"/>
      <c r="AB1174" s="213"/>
      <c r="AC1174" s="207"/>
      <c r="AD1174"/>
      <c r="AE1174" s="206"/>
      <c r="AF1174" s="94"/>
      <c r="AG1174" s="94"/>
      <c r="AH1174" s="94"/>
      <c r="AI1174" s="94"/>
      <c r="AJ1174" s="94"/>
      <c r="AK1174" s="94"/>
      <c r="AL1174" s="94"/>
      <c r="AM1174" s="254"/>
      <c r="AN1174" s="254"/>
      <c r="AO1174" s="94"/>
      <c r="AP1174" s="94"/>
      <c r="AQ1174" s="94"/>
      <c r="AR1174" s="94"/>
      <c r="AS1174" s="207"/>
    </row>
    <row r="1175" spans="13:45" ht="12.75">
      <c r="M1175" s="104"/>
      <c r="O1175" s="206"/>
      <c r="P1175" s="94"/>
      <c r="Q1175" s="180"/>
      <c r="R1175" s="258"/>
      <c r="S1175" s="259"/>
      <c r="T1175" s="213"/>
      <c r="U1175" s="213"/>
      <c r="V1175" s="213"/>
      <c r="W1175" s="213"/>
      <c r="X1175" s="213"/>
      <c r="Y1175" s="213"/>
      <c r="Z1175" s="213"/>
      <c r="AA1175" s="213"/>
      <c r="AB1175" s="213"/>
      <c r="AC1175" s="207"/>
      <c r="AD1175"/>
      <c r="AE1175" s="206"/>
      <c r="AF1175" s="94"/>
      <c r="AG1175" s="94"/>
      <c r="AH1175" s="94"/>
      <c r="AI1175" s="94"/>
      <c r="AJ1175" s="94"/>
      <c r="AK1175" s="94"/>
      <c r="AL1175" s="94"/>
      <c r="AM1175" s="254"/>
      <c r="AN1175" s="254"/>
      <c r="AO1175" s="94"/>
      <c r="AP1175" s="94"/>
      <c r="AQ1175" s="94"/>
      <c r="AR1175" s="94"/>
      <c r="AS1175" s="207"/>
    </row>
    <row r="1176" spans="13:45" ht="12.75">
      <c r="M1176" s="104"/>
      <c r="O1176" s="206"/>
      <c r="P1176" s="94"/>
      <c r="Q1176" s="180"/>
      <c r="R1176" s="258"/>
      <c r="S1176" s="259"/>
      <c r="T1176" s="213"/>
      <c r="U1176" s="213"/>
      <c r="V1176" s="213"/>
      <c r="W1176" s="213"/>
      <c r="X1176" s="213"/>
      <c r="Y1176" s="213"/>
      <c r="Z1176" s="213"/>
      <c r="AA1176" s="213"/>
      <c r="AB1176" s="213"/>
      <c r="AC1176" s="207"/>
      <c r="AD1176"/>
      <c r="AE1176" s="206"/>
      <c r="AF1176" s="94"/>
      <c r="AG1176" s="94"/>
      <c r="AH1176" s="94"/>
      <c r="AI1176" s="94"/>
      <c r="AJ1176" s="94"/>
      <c r="AK1176" s="94"/>
      <c r="AL1176" s="94"/>
      <c r="AM1176" s="254"/>
      <c r="AN1176" s="254"/>
      <c r="AO1176" s="94"/>
      <c r="AP1176" s="94"/>
      <c r="AQ1176" s="94"/>
      <c r="AR1176" s="94"/>
      <c r="AS1176" s="207"/>
    </row>
    <row r="1177" spans="13:45" ht="12.75">
      <c r="M1177" s="104"/>
      <c r="O1177" s="206"/>
      <c r="P1177" s="94"/>
      <c r="Q1177" s="180"/>
      <c r="R1177" s="258"/>
      <c r="S1177" s="259"/>
      <c r="T1177" s="213"/>
      <c r="U1177" s="213"/>
      <c r="V1177" s="213"/>
      <c r="W1177" s="213"/>
      <c r="X1177" s="213"/>
      <c r="Y1177" s="213"/>
      <c r="Z1177" s="213"/>
      <c r="AA1177" s="213"/>
      <c r="AB1177" s="213"/>
      <c r="AC1177" s="207"/>
      <c r="AD1177"/>
      <c r="AE1177" s="206"/>
      <c r="AF1177" s="94"/>
      <c r="AG1177" s="94"/>
      <c r="AH1177" s="94"/>
      <c r="AI1177" s="94"/>
      <c r="AJ1177" s="94"/>
      <c r="AK1177" s="94"/>
      <c r="AL1177" s="94"/>
      <c r="AM1177" s="254"/>
      <c r="AN1177" s="254"/>
      <c r="AO1177" s="94"/>
      <c r="AP1177" s="94"/>
      <c r="AQ1177" s="94"/>
      <c r="AR1177" s="94"/>
      <c r="AS1177" s="207"/>
    </row>
    <row r="1178" spans="13:45" ht="12.75">
      <c r="M1178" s="104"/>
      <c r="O1178" s="206"/>
      <c r="P1178" s="94"/>
      <c r="Q1178" s="180"/>
      <c r="R1178" s="258"/>
      <c r="S1178" s="259"/>
      <c r="T1178" s="213"/>
      <c r="U1178" s="213"/>
      <c r="V1178" s="213"/>
      <c r="W1178" s="213"/>
      <c r="X1178" s="213"/>
      <c r="Y1178" s="213"/>
      <c r="Z1178" s="213"/>
      <c r="AA1178" s="213"/>
      <c r="AB1178" s="213"/>
      <c r="AC1178" s="207"/>
      <c r="AD1178"/>
      <c r="AE1178" s="206"/>
      <c r="AF1178" s="94"/>
      <c r="AG1178" s="94"/>
      <c r="AH1178" s="94"/>
      <c r="AI1178" s="94"/>
      <c r="AJ1178" s="94"/>
      <c r="AK1178" s="94"/>
      <c r="AL1178" s="94"/>
      <c r="AM1178" s="254"/>
      <c r="AN1178" s="254"/>
      <c r="AO1178" s="94"/>
      <c r="AP1178" s="94"/>
      <c r="AQ1178" s="94"/>
      <c r="AR1178" s="94"/>
      <c r="AS1178" s="207"/>
    </row>
    <row r="1179" spans="13:45" ht="12.75">
      <c r="M1179" s="104"/>
      <c r="O1179" s="206"/>
      <c r="P1179" s="94"/>
      <c r="Q1179" s="180"/>
      <c r="R1179" s="258"/>
      <c r="S1179" s="259"/>
      <c r="T1179" s="213"/>
      <c r="U1179" s="213"/>
      <c r="V1179" s="213"/>
      <c r="W1179" s="213"/>
      <c r="X1179" s="213"/>
      <c r="Y1179" s="213"/>
      <c r="Z1179" s="213"/>
      <c r="AA1179" s="213"/>
      <c r="AB1179" s="213"/>
      <c r="AC1179" s="207"/>
      <c r="AD1179"/>
      <c r="AE1179" s="206"/>
      <c r="AF1179" s="94"/>
      <c r="AG1179" s="94"/>
      <c r="AH1179" s="94"/>
      <c r="AI1179" s="94"/>
      <c r="AJ1179" s="94"/>
      <c r="AK1179" s="94"/>
      <c r="AL1179" s="94"/>
      <c r="AM1179" s="254"/>
      <c r="AN1179" s="254"/>
      <c r="AO1179" s="94"/>
      <c r="AP1179" s="94"/>
      <c r="AQ1179" s="94"/>
      <c r="AR1179" s="94"/>
      <c r="AS1179" s="207"/>
    </row>
    <row r="1180" spans="13:45" ht="12.75">
      <c r="M1180" s="104"/>
      <c r="O1180" s="206"/>
      <c r="P1180" s="94"/>
      <c r="Q1180" s="180"/>
      <c r="R1180" s="258"/>
      <c r="S1180" s="259"/>
      <c r="T1180" s="213"/>
      <c r="U1180" s="213"/>
      <c r="V1180" s="213"/>
      <c r="W1180" s="213"/>
      <c r="X1180" s="213"/>
      <c r="Y1180" s="213"/>
      <c r="Z1180" s="213"/>
      <c r="AA1180" s="213"/>
      <c r="AB1180" s="213"/>
      <c r="AC1180" s="207"/>
      <c r="AD1180"/>
      <c r="AE1180" s="206"/>
      <c r="AF1180" s="94"/>
      <c r="AG1180" s="94"/>
      <c r="AH1180" s="94"/>
      <c r="AI1180" s="94"/>
      <c r="AJ1180" s="94"/>
      <c r="AK1180" s="94"/>
      <c r="AL1180" s="94"/>
      <c r="AM1180" s="254"/>
      <c r="AN1180" s="254"/>
      <c r="AO1180" s="94"/>
      <c r="AP1180" s="94"/>
      <c r="AQ1180" s="94"/>
      <c r="AR1180" s="94"/>
      <c r="AS1180" s="207"/>
    </row>
    <row r="1181" spans="13:45" ht="12.75">
      <c r="M1181" s="104"/>
      <c r="O1181" s="206"/>
      <c r="P1181" s="94"/>
      <c r="Q1181" s="180"/>
      <c r="R1181" s="258"/>
      <c r="S1181" s="259"/>
      <c r="T1181" s="213"/>
      <c r="U1181" s="213"/>
      <c r="V1181" s="213"/>
      <c r="W1181" s="213"/>
      <c r="X1181" s="213"/>
      <c r="Y1181" s="213"/>
      <c r="Z1181" s="213"/>
      <c r="AA1181" s="213"/>
      <c r="AB1181" s="213"/>
      <c r="AC1181" s="207"/>
      <c r="AD1181"/>
      <c r="AE1181" s="206"/>
      <c r="AF1181" s="94"/>
      <c r="AG1181" s="94"/>
      <c r="AH1181" s="94"/>
      <c r="AI1181" s="94"/>
      <c r="AJ1181" s="94"/>
      <c r="AK1181" s="94"/>
      <c r="AL1181" s="94"/>
      <c r="AM1181" s="254"/>
      <c r="AN1181" s="254"/>
      <c r="AO1181" s="94"/>
      <c r="AP1181" s="94"/>
      <c r="AQ1181" s="94"/>
      <c r="AR1181" s="94"/>
      <c r="AS1181" s="207"/>
    </row>
    <row r="1182" spans="13:45" ht="12.75">
      <c r="M1182" s="104"/>
      <c r="O1182" s="206"/>
      <c r="P1182" s="94"/>
      <c r="Q1182" s="180"/>
      <c r="R1182" s="258"/>
      <c r="S1182" s="259"/>
      <c r="T1182" s="213"/>
      <c r="U1182" s="213"/>
      <c r="V1182" s="213"/>
      <c r="W1182" s="213"/>
      <c r="X1182" s="213"/>
      <c r="Y1182" s="213"/>
      <c r="Z1182" s="213"/>
      <c r="AA1182" s="213"/>
      <c r="AB1182" s="213"/>
      <c r="AC1182" s="207"/>
      <c r="AD1182"/>
      <c r="AE1182" s="206"/>
      <c r="AF1182" s="94"/>
      <c r="AG1182" s="94"/>
      <c r="AH1182" s="94"/>
      <c r="AI1182" s="94"/>
      <c r="AJ1182" s="94"/>
      <c r="AK1182" s="94"/>
      <c r="AL1182" s="94"/>
      <c r="AM1182" s="254"/>
      <c r="AN1182" s="254"/>
      <c r="AO1182" s="94"/>
      <c r="AP1182" s="94"/>
      <c r="AQ1182" s="94"/>
      <c r="AR1182" s="94"/>
      <c r="AS1182" s="207"/>
    </row>
    <row r="1183" spans="13:45" ht="12.75">
      <c r="M1183" s="104"/>
      <c r="O1183" s="206"/>
      <c r="P1183" s="94"/>
      <c r="Q1183" s="180"/>
      <c r="R1183" s="258"/>
      <c r="S1183" s="259"/>
      <c r="T1183" s="213"/>
      <c r="U1183" s="213"/>
      <c r="V1183" s="213"/>
      <c r="W1183" s="213"/>
      <c r="X1183" s="213"/>
      <c r="Y1183" s="213"/>
      <c r="Z1183" s="213"/>
      <c r="AA1183" s="213"/>
      <c r="AB1183" s="213"/>
      <c r="AC1183" s="207"/>
      <c r="AD1183"/>
      <c r="AE1183" s="206"/>
      <c r="AF1183" s="94"/>
      <c r="AG1183" s="94"/>
      <c r="AH1183" s="94"/>
      <c r="AI1183" s="94"/>
      <c r="AJ1183" s="94"/>
      <c r="AK1183" s="94"/>
      <c r="AL1183" s="94"/>
      <c r="AM1183" s="254"/>
      <c r="AN1183" s="254"/>
      <c r="AO1183" s="94"/>
      <c r="AP1183" s="94"/>
      <c r="AQ1183" s="94"/>
      <c r="AR1183" s="94"/>
      <c r="AS1183" s="207"/>
    </row>
    <row r="1184" spans="13:45" ht="12.75">
      <c r="M1184" s="104"/>
      <c r="O1184" s="206"/>
      <c r="P1184" s="94"/>
      <c r="Q1184" s="180"/>
      <c r="R1184" s="258"/>
      <c r="S1184" s="259"/>
      <c r="T1184" s="213"/>
      <c r="U1184" s="213"/>
      <c r="V1184" s="213"/>
      <c r="W1184" s="213"/>
      <c r="X1184" s="213"/>
      <c r="Y1184" s="213"/>
      <c r="Z1184" s="213"/>
      <c r="AA1184" s="213"/>
      <c r="AB1184" s="213"/>
      <c r="AC1184" s="207"/>
      <c r="AD1184"/>
      <c r="AE1184" s="206"/>
      <c r="AF1184" s="94"/>
      <c r="AG1184" s="94"/>
      <c r="AH1184" s="94"/>
      <c r="AI1184" s="94"/>
      <c r="AJ1184" s="94"/>
      <c r="AK1184" s="94"/>
      <c r="AL1184" s="94"/>
      <c r="AM1184" s="254"/>
      <c r="AN1184" s="254"/>
      <c r="AO1184" s="94"/>
      <c r="AP1184" s="94"/>
      <c r="AQ1184" s="94"/>
      <c r="AR1184" s="94"/>
      <c r="AS1184" s="207"/>
    </row>
    <row r="1185" spans="13:45" ht="12.75">
      <c r="M1185" s="104"/>
      <c r="O1185" s="206"/>
      <c r="P1185" s="94"/>
      <c r="Q1185" s="180"/>
      <c r="R1185" s="258"/>
      <c r="S1185" s="259"/>
      <c r="T1185" s="213"/>
      <c r="U1185" s="213"/>
      <c r="V1185" s="213"/>
      <c r="W1185" s="213"/>
      <c r="X1185" s="213"/>
      <c r="Y1185" s="213"/>
      <c r="Z1185" s="213"/>
      <c r="AA1185" s="213"/>
      <c r="AB1185" s="213"/>
      <c r="AC1185" s="207"/>
      <c r="AD1185"/>
      <c r="AE1185" s="206"/>
      <c r="AF1185" s="94"/>
      <c r="AG1185" s="94"/>
      <c r="AH1185" s="94"/>
      <c r="AI1185" s="94"/>
      <c r="AJ1185" s="94"/>
      <c r="AK1185" s="94"/>
      <c r="AL1185" s="94"/>
      <c r="AM1185" s="254"/>
      <c r="AN1185" s="254"/>
      <c r="AO1185" s="94"/>
      <c r="AP1185" s="94"/>
      <c r="AQ1185" s="94"/>
      <c r="AR1185" s="94"/>
      <c r="AS1185" s="207"/>
    </row>
    <row r="1186" spans="13:45" ht="12.75">
      <c r="M1186" s="104"/>
      <c r="O1186" s="206"/>
      <c r="P1186" s="94"/>
      <c r="Q1186" s="180"/>
      <c r="R1186" s="258"/>
      <c r="S1186" s="259"/>
      <c r="T1186" s="213"/>
      <c r="U1186" s="213"/>
      <c r="V1186" s="213"/>
      <c r="W1186" s="213"/>
      <c r="X1186" s="213"/>
      <c r="Y1186" s="213"/>
      <c r="Z1186" s="213"/>
      <c r="AA1186" s="213"/>
      <c r="AB1186" s="213"/>
      <c r="AC1186" s="207"/>
      <c r="AD1186"/>
      <c r="AE1186" s="206"/>
      <c r="AF1186" s="94"/>
      <c r="AG1186" s="94"/>
      <c r="AH1186" s="94"/>
      <c r="AI1186" s="94"/>
      <c r="AJ1186" s="94"/>
      <c r="AK1186" s="94"/>
      <c r="AL1186" s="94"/>
      <c r="AM1186" s="254"/>
      <c r="AN1186" s="254"/>
      <c r="AO1186" s="94"/>
      <c r="AP1186" s="94"/>
      <c r="AQ1186" s="94"/>
      <c r="AR1186" s="94"/>
      <c r="AS1186" s="207"/>
    </row>
    <row r="1187" spans="13:45" ht="12.75">
      <c r="M1187" s="104"/>
      <c r="O1187" s="206"/>
      <c r="P1187" s="94"/>
      <c r="Q1187" s="180"/>
      <c r="R1187" s="258"/>
      <c r="S1187" s="259"/>
      <c r="T1187" s="213"/>
      <c r="U1187" s="213"/>
      <c r="V1187" s="213"/>
      <c r="W1187" s="213"/>
      <c r="X1187" s="213"/>
      <c r="Y1187" s="213"/>
      <c r="Z1187" s="213"/>
      <c r="AA1187" s="213"/>
      <c r="AB1187" s="213"/>
      <c r="AC1187" s="207"/>
      <c r="AD1187"/>
      <c r="AE1187" s="206"/>
      <c r="AF1187" s="94"/>
      <c r="AG1187" s="94"/>
      <c r="AH1187" s="94"/>
      <c r="AI1187" s="94"/>
      <c r="AJ1187" s="94"/>
      <c r="AK1187" s="94"/>
      <c r="AL1187" s="94"/>
      <c r="AM1187" s="254"/>
      <c r="AN1187" s="254"/>
      <c r="AO1187" s="94"/>
      <c r="AP1187" s="94"/>
      <c r="AQ1187" s="94"/>
      <c r="AR1187" s="94"/>
      <c r="AS1187" s="207"/>
    </row>
    <row r="1188" spans="13:45" ht="12.75">
      <c r="M1188" s="104"/>
      <c r="O1188" s="206"/>
      <c r="P1188" s="94"/>
      <c r="Q1188" s="180"/>
      <c r="R1188" s="258"/>
      <c r="S1188" s="259"/>
      <c r="T1188" s="213"/>
      <c r="U1188" s="213"/>
      <c r="V1188" s="213"/>
      <c r="W1188" s="213"/>
      <c r="X1188" s="213"/>
      <c r="Y1188" s="213"/>
      <c r="Z1188" s="213"/>
      <c r="AA1188" s="213"/>
      <c r="AB1188" s="213"/>
      <c r="AC1188" s="207"/>
      <c r="AD1188"/>
      <c r="AE1188" s="206"/>
      <c r="AF1188" s="94"/>
      <c r="AG1188" s="94"/>
      <c r="AH1188" s="94"/>
      <c r="AI1188" s="94"/>
      <c r="AJ1188" s="94"/>
      <c r="AK1188" s="94"/>
      <c r="AL1188" s="94"/>
      <c r="AM1188" s="254"/>
      <c r="AN1188" s="254"/>
      <c r="AO1188" s="94"/>
      <c r="AP1188" s="94"/>
      <c r="AQ1188" s="94"/>
      <c r="AR1188" s="94"/>
      <c r="AS1188" s="207"/>
    </row>
    <row r="1189" spans="13:45" ht="12.75">
      <c r="M1189" s="104"/>
      <c r="O1189" s="206"/>
      <c r="P1189" s="94"/>
      <c r="Q1189" s="180"/>
      <c r="R1189" s="258"/>
      <c r="S1189" s="259"/>
      <c r="T1189" s="213"/>
      <c r="U1189" s="213"/>
      <c r="V1189" s="213"/>
      <c r="W1189" s="213"/>
      <c r="X1189" s="213"/>
      <c r="Y1189" s="213"/>
      <c r="Z1189" s="213"/>
      <c r="AA1189" s="213"/>
      <c r="AB1189" s="213"/>
      <c r="AC1189" s="207"/>
      <c r="AD1189"/>
      <c r="AE1189" s="206"/>
      <c r="AF1189" s="94"/>
      <c r="AG1189" s="94"/>
      <c r="AH1189" s="94"/>
      <c r="AI1189" s="94"/>
      <c r="AJ1189" s="94"/>
      <c r="AK1189" s="94"/>
      <c r="AL1189" s="94"/>
      <c r="AM1189" s="254"/>
      <c r="AN1189" s="254"/>
      <c r="AO1189" s="94"/>
      <c r="AP1189" s="94"/>
      <c r="AQ1189" s="94"/>
      <c r="AR1189" s="94"/>
      <c r="AS1189" s="207"/>
    </row>
    <row r="1190" spans="13:45" ht="12.75">
      <c r="M1190" s="104"/>
      <c r="O1190" s="206"/>
      <c r="P1190" s="94"/>
      <c r="Q1190" s="180"/>
      <c r="R1190" s="258"/>
      <c r="S1190" s="259"/>
      <c r="T1190" s="213"/>
      <c r="U1190" s="213"/>
      <c r="V1190" s="213"/>
      <c r="W1190" s="213"/>
      <c r="X1190" s="213"/>
      <c r="Y1190" s="213"/>
      <c r="Z1190" s="213"/>
      <c r="AA1190" s="213"/>
      <c r="AB1190" s="213"/>
      <c r="AC1190" s="207"/>
      <c r="AD1190"/>
      <c r="AE1190" s="206"/>
      <c r="AF1190" s="94"/>
      <c r="AG1190" s="94"/>
      <c r="AH1190" s="94"/>
      <c r="AI1190" s="94"/>
      <c r="AJ1190" s="94"/>
      <c r="AK1190" s="94"/>
      <c r="AL1190" s="94"/>
      <c r="AM1190" s="254"/>
      <c r="AN1190" s="254"/>
      <c r="AO1190" s="94"/>
      <c r="AP1190" s="94"/>
      <c r="AQ1190" s="94"/>
      <c r="AR1190" s="94"/>
      <c r="AS1190" s="207"/>
    </row>
    <row r="1191" spans="13:45" ht="12.75">
      <c r="M1191" s="104"/>
      <c r="O1191" s="206"/>
      <c r="P1191" s="94"/>
      <c r="Q1191" s="180"/>
      <c r="R1191" s="258"/>
      <c r="S1191" s="259"/>
      <c r="T1191" s="213"/>
      <c r="U1191" s="213"/>
      <c r="V1191" s="213"/>
      <c r="W1191" s="213"/>
      <c r="X1191" s="213"/>
      <c r="Y1191" s="213"/>
      <c r="Z1191" s="213"/>
      <c r="AA1191" s="213"/>
      <c r="AB1191" s="213"/>
      <c r="AC1191" s="207"/>
      <c r="AD1191"/>
      <c r="AE1191" s="206"/>
      <c r="AF1191" s="94"/>
      <c r="AG1191" s="94"/>
      <c r="AH1191" s="94"/>
      <c r="AI1191" s="94"/>
      <c r="AJ1191" s="94"/>
      <c r="AK1191" s="94"/>
      <c r="AL1191" s="94"/>
      <c r="AM1191" s="254"/>
      <c r="AN1191" s="254"/>
      <c r="AO1191" s="94"/>
      <c r="AP1191" s="94"/>
      <c r="AQ1191" s="94"/>
      <c r="AR1191" s="94"/>
      <c r="AS1191" s="207"/>
    </row>
    <row r="1192" spans="13:45" ht="12.75">
      <c r="M1192" s="104"/>
      <c r="O1192" s="206"/>
      <c r="P1192" s="94"/>
      <c r="Q1192" s="180"/>
      <c r="R1192" s="258"/>
      <c r="S1192" s="259"/>
      <c r="T1192" s="213"/>
      <c r="U1192" s="213"/>
      <c r="V1192" s="213"/>
      <c r="W1192" s="213"/>
      <c r="X1192" s="213"/>
      <c r="Y1192" s="213"/>
      <c r="Z1192" s="213"/>
      <c r="AA1192" s="213"/>
      <c r="AB1192" s="213"/>
      <c r="AC1192" s="207"/>
      <c r="AD1192"/>
      <c r="AE1192" s="206"/>
      <c r="AF1192" s="94"/>
      <c r="AG1192" s="94"/>
      <c r="AH1192" s="94"/>
      <c r="AI1192" s="94"/>
      <c r="AJ1192" s="94"/>
      <c r="AK1192" s="94"/>
      <c r="AL1192" s="94"/>
      <c r="AM1192" s="254"/>
      <c r="AN1192" s="254"/>
      <c r="AO1192" s="94"/>
      <c r="AP1192" s="94"/>
      <c r="AQ1192" s="94"/>
      <c r="AR1192" s="94"/>
      <c r="AS1192" s="207"/>
    </row>
    <row r="1193" spans="13:45" ht="12.75">
      <c r="M1193" s="104"/>
      <c r="O1193" s="206"/>
      <c r="P1193" s="94"/>
      <c r="Q1193" s="180"/>
      <c r="R1193" s="258"/>
      <c r="S1193" s="259"/>
      <c r="T1193" s="213"/>
      <c r="U1193" s="213"/>
      <c r="V1193" s="213"/>
      <c r="W1193" s="213"/>
      <c r="X1193" s="213"/>
      <c r="Y1193" s="213"/>
      <c r="Z1193" s="213"/>
      <c r="AA1193" s="213"/>
      <c r="AB1193" s="213"/>
      <c r="AC1193" s="207"/>
      <c r="AD1193"/>
      <c r="AE1193" s="206"/>
      <c r="AF1193" s="94"/>
      <c r="AG1193" s="94"/>
      <c r="AH1193" s="94"/>
      <c r="AI1193" s="94"/>
      <c r="AJ1193" s="94"/>
      <c r="AK1193" s="94"/>
      <c r="AL1193" s="94"/>
      <c r="AM1193" s="254"/>
      <c r="AN1193" s="254"/>
      <c r="AO1193" s="94"/>
      <c r="AP1193" s="94"/>
      <c r="AQ1193" s="94"/>
      <c r="AR1193" s="94"/>
      <c r="AS1193" s="207"/>
    </row>
    <row r="1194" spans="13:45" ht="12.75">
      <c r="M1194" s="104"/>
      <c r="O1194" s="206"/>
      <c r="P1194" s="94"/>
      <c r="Q1194" s="180"/>
      <c r="R1194" s="258"/>
      <c r="S1194" s="259"/>
      <c r="T1194" s="213"/>
      <c r="U1194" s="213"/>
      <c r="V1194" s="213"/>
      <c r="W1194" s="213"/>
      <c r="X1194" s="213"/>
      <c r="Y1194" s="213"/>
      <c r="Z1194" s="213"/>
      <c r="AA1194" s="213"/>
      <c r="AB1194" s="213"/>
      <c r="AC1194" s="207"/>
      <c r="AD1194"/>
      <c r="AE1194" s="206"/>
      <c r="AF1194" s="94"/>
      <c r="AG1194" s="94"/>
      <c r="AH1194" s="94"/>
      <c r="AI1194" s="94"/>
      <c r="AJ1194" s="94"/>
      <c r="AK1194" s="94"/>
      <c r="AL1194" s="94"/>
      <c r="AM1194" s="254"/>
      <c r="AN1194" s="254"/>
      <c r="AO1194" s="94"/>
      <c r="AP1194" s="94"/>
      <c r="AQ1194" s="94"/>
      <c r="AR1194" s="94"/>
      <c r="AS1194" s="207"/>
    </row>
    <row r="1195" spans="13:45" ht="12.75">
      <c r="M1195" s="104"/>
      <c r="O1195" s="206"/>
      <c r="P1195" s="94"/>
      <c r="Q1195" s="180"/>
      <c r="R1195" s="258"/>
      <c r="S1195" s="259"/>
      <c r="T1195" s="213"/>
      <c r="U1195" s="213"/>
      <c r="V1195" s="213"/>
      <c r="W1195" s="213"/>
      <c r="X1195" s="213"/>
      <c r="Y1195" s="213"/>
      <c r="Z1195" s="213"/>
      <c r="AA1195" s="213"/>
      <c r="AB1195" s="213"/>
      <c r="AC1195" s="207"/>
      <c r="AD1195"/>
      <c r="AE1195" s="206"/>
      <c r="AF1195" s="94"/>
      <c r="AG1195" s="94"/>
      <c r="AH1195" s="94"/>
      <c r="AI1195" s="94"/>
      <c r="AJ1195" s="94"/>
      <c r="AK1195" s="94"/>
      <c r="AL1195" s="94"/>
      <c r="AM1195" s="254"/>
      <c r="AN1195" s="254"/>
      <c r="AO1195" s="94"/>
      <c r="AP1195" s="94"/>
      <c r="AQ1195" s="94"/>
      <c r="AR1195" s="94"/>
      <c r="AS1195" s="207"/>
    </row>
    <row r="1196" spans="13:45" ht="12.75">
      <c r="M1196" s="104"/>
      <c r="O1196" s="206"/>
      <c r="P1196" s="94"/>
      <c r="Q1196" s="180"/>
      <c r="R1196" s="258"/>
      <c r="S1196" s="259"/>
      <c r="T1196" s="213"/>
      <c r="U1196" s="213"/>
      <c r="V1196" s="213"/>
      <c r="W1196" s="213"/>
      <c r="X1196" s="213"/>
      <c r="Y1196" s="213"/>
      <c r="Z1196" s="213"/>
      <c r="AA1196" s="213"/>
      <c r="AB1196" s="213"/>
      <c r="AC1196" s="207"/>
      <c r="AD1196"/>
      <c r="AE1196" s="206"/>
      <c r="AF1196" s="94"/>
      <c r="AG1196" s="94"/>
      <c r="AH1196" s="94"/>
      <c r="AI1196" s="94"/>
      <c r="AJ1196" s="94"/>
      <c r="AK1196" s="94"/>
      <c r="AL1196" s="94"/>
      <c r="AM1196" s="254"/>
      <c r="AN1196" s="254"/>
      <c r="AO1196" s="94"/>
      <c r="AP1196" s="94"/>
      <c r="AQ1196" s="94"/>
      <c r="AR1196" s="94"/>
      <c r="AS1196" s="207"/>
    </row>
    <row r="1197" spans="13:45" ht="12.75">
      <c r="M1197" s="104"/>
      <c r="O1197" s="206"/>
      <c r="P1197" s="94"/>
      <c r="Q1197" s="180"/>
      <c r="R1197" s="258"/>
      <c r="S1197" s="259"/>
      <c r="T1197" s="213"/>
      <c r="U1197" s="213"/>
      <c r="V1197" s="213"/>
      <c r="W1197" s="213"/>
      <c r="X1197" s="213"/>
      <c r="Y1197" s="213"/>
      <c r="Z1197" s="213"/>
      <c r="AA1197" s="213"/>
      <c r="AB1197" s="213"/>
      <c r="AC1197" s="207"/>
      <c r="AD1197"/>
      <c r="AE1197" s="206"/>
      <c r="AF1197" s="94"/>
      <c r="AG1197" s="94"/>
      <c r="AH1197" s="94"/>
      <c r="AI1197" s="94"/>
      <c r="AJ1197" s="94"/>
      <c r="AK1197" s="94"/>
      <c r="AL1197" s="94"/>
      <c r="AM1197" s="254"/>
      <c r="AN1197" s="254"/>
      <c r="AO1197" s="94"/>
      <c r="AP1197" s="94"/>
      <c r="AQ1197" s="94"/>
      <c r="AR1197" s="94"/>
      <c r="AS1197" s="207"/>
    </row>
    <row r="1198" spans="13:45" ht="12.75">
      <c r="M1198" s="104"/>
      <c r="O1198" s="206"/>
      <c r="P1198" s="94"/>
      <c r="Q1198" s="180"/>
      <c r="R1198" s="258"/>
      <c r="S1198" s="259"/>
      <c r="T1198" s="213"/>
      <c r="U1198" s="213"/>
      <c r="V1198" s="213"/>
      <c r="W1198" s="213"/>
      <c r="X1198" s="213"/>
      <c r="Y1198" s="213"/>
      <c r="Z1198" s="213"/>
      <c r="AA1198" s="213"/>
      <c r="AB1198" s="213"/>
      <c r="AC1198" s="207"/>
      <c r="AD1198"/>
      <c r="AE1198" s="206"/>
      <c r="AF1198" s="94"/>
      <c r="AG1198" s="94"/>
      <c r="AH1198" s="94"/>
      <c r="AI1198" s="94"/>
      <c r="AJ1198" s="94"/>
      <c r="AK1198" s="94"/>
      <c r="AL1198" s="94"/>
      <c r="AM1198" s="254"/>
      <c r="AN1198" s="254"/>
      <c r="AO1198" s="94"/>
      <c r="AP1198" s="94"/>
      <c r="AQ1198" s="94"/>
      <c r="AR1198" s="94"/>
      <c r="AS1198" s="207"/>
    </row>
    <row r="1199" spans="13:45" ht="12.75">
      <c r="M1199" s="104"/>
      <c r="O1199" s="206"/>
      <c r="P1199" s="94"/>
      <c r="Q1199" s="180"/>
      <c r="R1199" s="258"/>
      <c r="S1199" s="259"/>
      <c r="T1199" s="213"/>
      <c r="U1199" s="213"/>
      <c r="V1199" s="213"/>
      <c r="W1199" s="213"/>
      <c r="X1199" s="213"/>
      <c r="Y1199" s="213"/>
      <c r="Z1199" s="213"/>
      <c r="AA1199" s="213"/>
      <c r="AB1199" s="213"/>
      <c r="AC1199" s="207"/>
      <c r="AD1199"/>
      <c r="AE1199" s="206"/>
      <c r="AF1199" s="94"/>
      <c r="AG1199" s="94"/>
      <c r="AH1199" s="94"/>
      <c r="AI1199" s="94"/>
      <c r="AJ1199" s="94"/>
      <c r="AK1199" s="94"/>
      <c r="AL1199" s="94"/>
      <c r="AM1199" s="254"/>
      <c r="AN1199" s="254"/>
      <c r="AO1199" s="94"/>
      <c r="AP1199" s="94"/>
      <c r="AQ1199" s="94"/>
      <c r="AR1199" s="94"/>
      <c r="AS1199" s="207"/>
    </row>
    <row r="1200" spans="13:45" ht="12.75">
      <c r="M1200" s="104"/>
      <c r="O1200" s="206"/>
      <c r="P1200" s="94"/>
      <c r="Q1200" s="180"/>
      <c r="R1200" s="258"/>
      <c r="S1200" s="259"/>
      <c r="T1200" s="213"/>
      <c r="U1200" s="213"/>
      <c r="V1200" s="213"/>
      <c r="W1200" s="213"/>
      <c r="X1200" s="213"/>
      <c r="Y1200" s="213"/>
      <c r="Z1200" s="213"/>
      <c r="AA1200" s="213"/>
      <c r="AB1200" s="213"/>
      <c r="AC1200" s="207"/>
      <c r="AD1200"/>
      <c r="AE1200" s="206"/>
      <c r="AF1200" s="94"/>
      <c r="AG1200" s="94"/>
      <c r="AH1200" s="94"/>
      <c r="AI1200" s="94"/>
      <c r="AJ1200" s="94"/>
      <c r="AK1200" s="94"/>
      <c r="AL1200" s="94"/>
      <c r="AM1200" s="254"/>
      <c r="AN1200" s="254"/>
      <c r="AO1200" s="94"/>
      <c r="AP1200" s="94"/>
      <c r="AQ1200" s="94"/>
      <c r="AR1200" s="94"/>
      <c r="AS1200" s="207"/>
    </row>
    <row r="1201" spans="13:45" ht="12.75">
      <c r="M1201" s="104"/>
      <c r="O1201" s="206"/>
      <c r="P1201" s="94"/>
      <c r="Q1201" s="180"/>
      <c r="R1201" s="258"/>
      <c r="S1201" s="259"/>
      <c r="T1201" s="213"/>
      <c r="U1201" s="213"/>
      <c r="V1201" s="213"/>
      <c r="W1201" s="213"/>
      <c r="X1201" s="213"/>
      <c r="Y1201" s="213"/>
      <c r="Z1201" s="213"/>
      <c r="AA1201" s="213"/>
      <c r="AB1201" s="213"/>
      <c r="AC1201" s="207"/>
      <c r="AD1201"/>
      <c r="AE1201" s="206"/>
      <c r="AF1201" s="94"/>
      <c r="AG1201" s="94"/>
      <c r="AH1201" s="94"/>
      <c r="AI1201" s="94"/>
      <c r="AJ1201" s="94"/>
      <c r="AK1201" s="94"/>
      <c r="AL1201" s="94"/>
      <c r="AM1201" s="254"/>
      <c r="AN1201" s="254"/>
      <c r="AO1201" s="94"/>
      <c r="AP1201" s="94"/>
      <c r="AQ1201" s="94"/>
      <c r="AR1201" s="94"/>
      <c r="AS1201" s="207"/>
    </row>
    <row r="1202" spans="13:45" ht="12.75">
      <c r="M1202" s="104"/>
      <c r="O1202" s="206"/>
      <c r="P1202" s="94"/>
      <c r="Q1202" s="180"/>
      <c r="R1202" s="258"/>
      <c r="S1202" s="259"/>
      <c r="T1202" s="213"/>
      <c r="U1202" s="213"/>
      <c r="V1202" s="213"/>
      <c r="W1202" s="213"/>
      <c r="X1202" s="213"/>
      <c r="Y1202" s="213"/>
      <c r="Z1202" s="213"/>
      <c r="AA1202" s="213"/>
      <c r="AB1202" s="213"/>
      <c r="AC1202" s="207"/>
      <c r="AD1202"/>
      <c r="AE1202" s="206"/>
      <c r="AF1202" s="94"/>
      <c r="AG1202" s="94"/>
      <c r="AH1202" s="94"/>
      <c r="AI1202" s="94"/>
      <c r="AJ1202" s="94"/>
      <c r="AK1202" s="94"/>
      <c r="AL1202" s="94"/>
      <c r="AM1202" s="254"/>
      <c r="AN1202" s="254"/>
      <c r="AO1202" s="94"/>
      <c r="AP1202" s="94"/>
      <c r="AQ1202" s="94"/>
      <c r="AR1202" s="94"/>
      <c r="AS1202" s="207"/>
    </row>
    <row r="1203" spans="13:45" ht="12.75">
      <c r="M1203" s="104"/>
      <c r="O1203" s="206"/>
      <c r="P1203" s="94"/>
      <c r="Q1203" s="180"/>
      <c r="R1203" s="258"/>
      <c r="S1203" s="259"/>
      <c r="T1203" s="213"/>
      <c r="U1203" s="213"/>
      <c r="V1203" s="213"/>
      <c r="W1203" s="213"/>
      <c r="X1203" s="213"/>
      <c r="Y1203" s="213"/>
      <c r="Z1203" s="213"/>
      <c r="AA1203" s="213"/>
      <c r="AB1203" s="213"/>
      <c r="AC1203" s="207"/>
      <c r="AD1203"/>
      <c r="AE1203" s="206"/>
      <c r="AF1203" s="94"/>
      <c r="AG1203" s="94"/>
      <c r="AH1203" s="94"/>
      <c r="AI1203" s="94"/>
      <c r="AJ1203" s="94"/>
      <c r="AK1203" s="94"/>
      <c r="AL1203" s="94"/>
      <c r="AM1203" s="254"/>
      <c r="AN1203" s="254"/>
      <c r="AO1203" s="94"/>
      <c r="AP1203" s="94"/>
      <c r="AQ1203" s="94"/>
      <c r="AR1203" s="94"/>
      <c r="AS1203" s="207"/>
    </row>
    <row r="1204" spans="13:45" ht="12.75">
      <c r="M1204" s="104"/>
      <c r="O1204" s="206"/>
      <c r="P1204" s="94"/>
      <c r="Q1204" s="180"/>
      <c r="R1204" s="258"/>
      <c r="S1204" s="259"/>
      <c r="T1204" s="213"/>
      <c r="U1204" s="213"/>
      <c r="V1204" s="213"/>
      <c r="W1204" s="213"/>
      <c r="X1204" s="213"/>
      <c r="Y1204" s="213"/>
      <c r="Z1204" s="213"/>
      <c r="AA1204" s="213"/>
      <c r="AB1204" s="213"/>
      <c r="AC1204" s="207"/>
      <c r="AD1204"/>
      <c r="AE1204" s="206"/>
      <c r="AF1204" s="94"/>
      <c r="AG1204" s="94"/>
      <c r="AH1204" s="94"/>
      <c r="AI1204" s="94"/>
      <c r="AJ1204" s="94"/>
      <c r="AK1204" s="94"/>
      <c r="AL1204" s="94"/>
      <c r="AM1204" s="254"/>
      <c r="AN1204" s="254"/>
      <c r="AO1204" s="94"/>
      <c r="AP1204" s="94"/>
      <c r="AQ1204" s="94"/>
      <c r="AR1204" s="94"/>
      <c r="AS1204" s="207"/>
    </row>
    <row r="1205" spans="13:45" ht="12.75">
      <c r="M1205" s="104"/>
      <c r="O1205" s="206"/>
      <c r="P1205" s="94"/>
      <c r="Q1205" s="180"/>
      <c r="R1205" s="258"/>
      <c r="S1205" s="259"/>
      <c r="T1205" s="213"/>
      <c r="U1205" s="213"/>
      <c r="V1205" s="213"/>
      <c r="W1205" s="213"/>
      <c r="X1205" s="213"/>
      <c r="Y1205" s="213"/>
      <c r="Z1205" s="213"/>
      <c r="AA1205" s="213"/>
      <c r="AB1205" s="213"/>
      <c r="AC1205" s="207"/>
      <c r="AD1205"/>
      <c r="AE1205" s="206"/>
      <c r="AF1205" s="94"/>
      <c r="AG1205" s="94"/>
      <c r="AH1205" s="94"/>
      <c r="AI1205" s="94"/>
      <c r="AJ1205" s="94"/>
      <c r="AK1205" s="94"/>
      <c r="AL1205" s="94"/>
      <c r="AM1205" s="254"/>
      <c r="AN1205" s="254"/>
      <c r="AO1205" s="94"/>
      <c r="AP1205" s="94"/>
      <c r="AQ1205" s="94"/>
      <c r="AR1205" s="94"/>
      <c r="AS1205" s="207"/>
    </row>
    <row r="1206" spans="13:45" ht="12.75">
      <c r="M1206" s="104"/>
      <c r="O1206" s="206"/>
      <c r="P1206" s="94"/>
      <c r="Q1206" s="180"/>
      <c r="R1206" s="258"/>
      <c r="S1206" s="259"/>
      <c r="T1206" s="213"/>
      <c r="U1206" s="213"/>
      <c r="V1206" s="213"/>
      <c r="W1206" s="213"/>
      <c r="X1206" s="213"/>
      <c r="Y1206" s="213"/>
      <c r="Z1206" s="213"/>
      <c r="AA1206" s="213"/>
      <c r="AB1206" s="213"/>
      <c r="AC1206" s="207"/>
      <c r="AD1206"/>
      <c r="AE1206" s="206"/>
      <c r="AF1206" s="94"/>
      <c r="AG1206" s="94"/>
      <c r="AH1206" s="94"/>
      <c r="AI1206" s="94"/>
      <c r="AJ1206" s="94"/>
      <c r="AK1206" s="94"/>
      <c r="AL1206" s="94"/>
      <c r="AM1206" s="254"/>
      <c r="AN1206" s="254"/>
      <c r="AO1206" s="94"/>
      <c r="AP1206" s="94"/>
      <c r="AQ1206" s="94"/>
      <c r="AR1206" s="94"/>
      <c r="AS1206" s="207"/>
    </row>
    <row r="1207" spans="13:45" ht="12.75">
      <c r="M1207" s="104"/>
      <c r="O1207" s="206"/>
      <c r="P1207" s="94"/>
      <c r="Q1207" s="180"/>
      <c r="R1207" s="258"/>
      <c r="S1207" s="259"/>
      <c r="T1207" s="213"/>
      <c r="U1207" s="213"/>
      <c r="V1207" s="213"/>
      <c r="W1207" s="213"/>
      <c r="X1207" s="213"/>
      <c r="Y1207" s="213"/>
      <c r="Z1207" s="213"/>
      <c r="AA1207" s="213"/>
      <c r="AB1207" s="213"/>
      <c r="AC1207" s="207"/>
      <c r="AD1207"/>
      <c r="AE1207" s="206"/>
      <c r="AF1207" s="94"/>
      <c r="AG1207" s="94"/>
      <c r="AH1207" s="94"/>
      <c r="AI1207" s="94"/>
      <c r="AJ1207" s="94"/>
      <c r="AK1207" s="94"/>
      <c r="AL1207" s="94"/>
      <c r="AM1207" s="254"/>
      <c r="AN1207" s="254"/>
      <c r="AO1207" s="94"/>
      <c r="AP1207" s="94"/>
      <c r="AQ1207" s="94"/>
      <c r="AR1207" s="94"/>
      <c r="AS1207" s="207"/>
    </row>
    <row r="1208" spans="13:45" ht="12.75">
      <c r="M1208" s="104"/>
      <c r="O1208" s="206"/>
      <c r="P1208" s="94"/>
      <c r="Q1208" s="180"/>
      <c r="R1208" s="258"/>
      <c r="S1208" s="259"/>
      <c r="T1208" s="213"/>
      <c r="U1208" s="213"/>
      <c r="V1208" s="213"/>
      <c r="W1208" s="213"/>
      <c r="X1208" s="213"/>
      <c r="Y1208" s="213"/>
      <c r="Z1208" s="213"/>
      <c r="AA1208" s="213"/>
      <c r="AB1208" s="213"/>
      <c r="AC1208" s="207"/>
      <c r="AD1208"/>
      <c r="AE1208" s="206"/>
      <c r="AF1208" s="94"/>
      <c r="AG1208" s="94"/>
      <c r="AH1208" s="94"/>
      <c r="AI1208" s="94"/>
      <c r="AJ1208" s="94"/>
      <c r="AK1208" s="94"/>
      <c r="AL1208" s="94"/>
      <c r="AM1208" s="254"/>
      <c r="AN1208" s="254"/>
      <c r="AO1208" s="94"/>
      <c r="AP1208" s="94"/>
      <c r="AQ1208" s="94"/>
      <c r="AR1208" s="94"/>
      <c r="AS1208" s="207"/>
    </row>
    <row r="1209" spans="13:45" ht="12.75">
      <c r="M1209" s="104"/>
      <c r="O1209" s="206"/>
      <c r="P1209" s="94"/>
      <c r="Q1209" s="180"/>
      <c r="R1209" s="258"/>
      <c r="S1209" s="259"/>
      <c r="T1209" s="213"/>
      <c r="U1209" s="213"/>
      <c r="V1209" s="213"/>
      <c r="W1209" s="213"/>
      <c r="X1209" s="213"/>
      <c r="Y1209" s="213"/>
      <c r="Z1209" s="213"/>
      <c r="AA1209" s="213"/>
      <c r="AB1209" s="213"/>
      <c r="AC1209" s="207"/>
      <c r="AD1209"/>
      <c r="AE1209" s="206"/>
      <c r="AF1209" s="94"/>
      <c r="AG1209" s="94"/>
      <c r="AH1209" s="94"/>
      <c r="AI1209" s="94"/>
      <c r="AJ1209" s="94"/>
      <c r="AK1209" s="94"/>
      <c r="AL1209" s="94"/>
      <c r="AM1209" s="254"/>
      <c r="AN1209" s="254"/>
      <c r="AO1209" s="94"/>
      <c r="AP1209" s="94"/>
      <c r="AQ1209" s="94"/>
      <c r="AR1209" s="94"/>
      <c r="AS1209" s="207"/>
    </row>
    <row r="1210" spans="13:45" ht="12.75">
      <c r="M1210" s="104"/>
      <c r="O1210" s="206"/>
      <c r="P1210" s="94"/>
      <c r="Q1210" s="180"/>
      <c r="R1210" s="258"/>
      <c r="S1210" s="259"/>
      <c r="T1210" s="213"/>
      <c r="U1210" s="213"/>
      <c r="V1210" s="213"/>
      <c r="W1210" s="213"/>
      <c r="X1210" s="213"/>
      <c r="Y1210" s="213"/>
      <c r="Z1210" s="213"/>
      <c r="AA1210" s="213"/>
      <c r="AB1210" s="213"/>
      <c r="AC1210" s="207"/>
      <c r="AD1210"/>
      <c r="AE1210" s="206"/>
      <c r="AF1210" s="94"/>
      <c r="AG1210" s="94"/>
      <c r="AH1210" s="94"/>
      <c r="AI1210" s="94"/>
      <c r="AJ1210" s="94"/>
      <c r="AK1210" s="94"/>
      <c r="AL1210" s="94"/>
      <c r="AM1210" s="254"/>
      <c r="AN1210" s="254"/>
      <c r="AO1210" s="94"/>
      <c r="AP1210" s="94"/>
      <c r="AQ1210" s="94"/>
      <c r="AR1210" s="94"/>
      <c r="AS1210" s="207"/>
    </row>
    <row r="1211" spans="13:45" ht="12.75">
      <c r="M1211" s="104"/>
      <c r="O1211" s="206"/>
      <c r="P1211" s="94"/>
      <c r="Q1211" s="180"/>
      <c r="R1211" s="258"/>
      <c r="S1211" s="259"/>
      <c r="T1211" s="213"/>
      <c r="U1211" s="213"/>
      <c r="V1211" s="213"/>
      <c r="W1211" s="213"/>
      <c r="X1211" s="213"/>
      <c r="Y1211" s="213"/>
      <c r="Z1211" s="213"/>
      <c r="AA1211" s="213"/>
      <c r="AB1211" s="213"/>
      <c r="AC1211" s="207"/>
      <c r="AD1211"/>
      <c r="AE1211" s="206"/>
      <c r="AF1211" s="94"/>
      <c r="AG1211" s="94"/>
      <c r="AH1211" s="94"/>
      <c r="AI1211" s="94"/>
      <c r="AJ1211" s="94"/>
      <c r="AK1211" s="94"/>
      <c r="AL1211" s="94"/>
      <c r="AM1211" s="254"/>
      <c r="AN1211" s="254"/>
      <c r="AO1211" s="94"/>
      <c r="AP1211" s="94"/>
      <c r="AQ1211" s="94"/>
      <c r="AR1211" s="94"/>
      <c r="AS1211" s="207"/>
    </row>
    <row r="1212" spans="13:45" ht="12.75">
      <c r="M1212" s="104"/>
      <c r="O1212" s="206"/>
      <c r="P1212" s="94"/>
      <c r="Q1212" s="180"/>
      <c r="R1212" s="258"/>
      <c r="S1212" s="259"/>
      <c r="T1212" s="213"/>
      <c r="U1212" s="213"/>
      <c r="V1212" s="213"/>
      <c r="W1212" s="213"/>
      <c r="X1212" s="213"/>
      <c r="Y1212" s="213"/>
      <c r="Z1212" s="213"/>
      <c r="AA1212" s="213"/>
      <c r="AB1212" s="213"/>
      <c r="AC1212" s="207"/>
      <c r="AD1212"/>
      <c r="AE1212" s="206"/>
      <c r="AF1212" s="94"/>
      <c r="AG1212" s="94"/>
      <c r="AH1212" s="94"/>
      <c r="AI1212" s="94"/>
      <c r="AJ1212" s="94"/>
      <c r="AK1212" s="94"/>
      <c r="AL1212" s="94"/>
      <c r="AM1212" s="254"/>
      <c r="AN1212" s="254"/>
      <c r="AO1212" s="94"/>
      <c r="AP1212" s="94"/>
      <c r="AQ1212" s="94"/>
      <c r="AR1212" s="94"/>
      <c r="AS1212" s="207"/>
    </row>
    <row r="1213" spans="13:45" ht="12.75">
      <c r="M1213" s="104"/>
      <c r="O1213" s="206"/>
      <c r="P1213" s="94"/>
      <c r="Q1213" s="180"/>
      <c r="R1213" s="258"/>
      <c r="S1213" s="259"/>
      <c r="T1213" s="213"/>
      <c r="U1213" s="213"/>
      <c r="V1213" s="213"/>
      <c r="W1213" s="213"/>
      <c r="X1213" s="213"/>
      <c r="Y1213" s="213"/>
      <c r="Z1213" s="213"/>
      <c r="AA1213" s="213"/>
      <c r="AB1213" s="213"/>
      <c r="AC1213" s="207"/>
      <c r="AD1213"/>
      <c r="AE1213" s="206"/>
      <c r="AF1213" s="94"/>
      <c r="AG1213" s="94"/>
      <c r="AH1213" s="94"/>
      <c r="AI1213" s="94"/>
      <c r="AJ1213" s="94"/>
      <c r="AK1213" s="94"/>
      <c r="AL1213" s="94"/>
      <c r="AM1213" s="254"/>
      <c r="AN1213" s="254"/>
      <c r="AO1213" s="94"/>
      <c r="AP1213" s="94"/>
      <c r="AQ1213" s="94"/>
      <c r="AR1213" s="94"/>
      <c r="AS1213" s="207"/>
    </row>
    <row r="1214" spans="13:45" ht="12.75">
      <c r="M1214" s="104"/>
      <c r="O1214" s="206"/>
      <c r="P1214" s="94"/>
      <c r="Q1214" s="180"/>
      <c r="R1214" s="258"/>
      <c r="S1214" s="259"/>
      <c r="T1214" s="213"/>
      <c r="U1214" s="213"/>
      <c r="V1214" s="213"/>
      <c r="W1214" s="213"/>
      <c r="X1214" s="213"/>
      <c r="Y1214" s="213"/>
      <c r="Z1214" s="213"/>
      <c r="AA1214" s="213"/>
      <c r="AB1214" s="213"/>
      <c r="AC1214" s="207"/>
      <c r="AD1214"/>
      <c r="AE1214" s="206"/>
      <c r="AF1214" s="94"/>
      <c r="AG1214" s="94"/>
      <c r="AH1214" s="94"/>
      <c r="AI1214" s="94"/>
      <c r="AJ1214" s="94"/>
      <c r="AK1214" s="94"/>
      <c r="AL1214" s="94"/>
      <c r="AM1214" s="254"/>
      <c r="AN1214" s="254"/>
      <c r="AO1214" s="94"/>
      <c r="AP1214" s="94"/>
      <c r="AQ1214" s="94"/>
      <c r="AR1214" s="94"/>
      <c r="AS1214" s="207"/>
    </row>
    <row r="1215" spans="13:45" ht="12.75">
      <c r="M1215" s="104"/>
      <c r="O1215" s="206"/>
      <c r="P1215" s="94"/>
      <c r="Q1215" s="180"/>
      <c r="R1215" s="258"/>
      <c r="S1215" s="259"/>
      <c r="T1215" s="213"/>
      <c r="U1215" s="213"/>
      <c r="V1215" s="213"/>
      <c r="W1215" s="213"/>
      <c r="X1215" s="213"/>
      <c r="Y1215" s="213"/>
      <c r="Z1215" s="213"/>
      <c r="AA1215" s="213"/>
      <c r="AB1215" s="213"/>
      <c r="AC1215" s="207"/>
      <c r="AD1215"/>
      <c r="AE1215" s="206"/>
      <c r="AF1215" s="94"/>
      <c r="AG1215" s="94"/>
      <c r="AH1215" s="94"/>
      <c r="AI1215" s="94"/>
      <c r="AJ1215" s="94"/>
      <c r="AK1215" s="94"/>
      <c r="AL1215" s="94"/>
      <c r="AM1215" s="254"/>
      <c r="AN1215" s="254"/>
      <c r="AO1215" s="94"/>
      <c r="AP1215" s="94"/>
      <c r="AQ1215" s="94"/>
      <c r="AR1215" s="94"/>
      <c r="AS1215" s="207"/>
    </row>
    <row r="1216" spans="13:45" ht="12.75">
      <c r="M1216" s="104"/>
      <c r="O1216" s="206"/>
      <c r="P1216" s="94"/>
      <c r="Q1216" s="180"/>
      <c r="R1216" s="258"/>
      <c r="S1216" s="259"/>
      <c r="T1216" s="213"/>
      <c r="U1216" s="213"/>
      <c r="V1216" s="213"/>
      <c r="W1216" s="213"/>
      <c r="X1216" s="213"/>
      <c r="Y1216" s="213"/>
      <c r="Z1216" s="213"/>
      <c r="AA1216" s="213"/>
      <c r="AB1216" s="213"/>
      <c r="AC1216" s="207"/>
      <c r="AD1216"/>
      <c r="AE1216" s="206"/>
      <c r="AF1216" s="94"/>
      <c r="AG1216" s="94"/>
      <c r="AH1216" s="94"/>
      <c r="AI1216" s="94"/>
      <c r="AJ1216" s="94"/>
      <c r="AK1216" s="94"/>
      <c r="AL1216" s="94"/>
      <c r="AM1216" s="254"/>
      <c r="AN1216" s="254"/>
      <c r="AO1216" s="94"/>
      <c r="AP1216" s="94"/>
      <c r="AQ1216" s="94"/>
      <c r="AR1216" s="94"/>
      <c r="AS1216" s="207"/>
    </row>
    <row r="1217" spans="13:45" ht="12.75">
      <c r="M1217" s="104"/>
      <c r="O1217" s="206"/>
      <c r="P1217" s="94"/>
      <c r="Q1217" s="180"/>
      <c r="R1217" s="258"/>
      <c r="S1217" s="259"/>
      <c r="T1217" s="213"/>
      <c r="U1217" s="213"/>
      <c r="V1217" s="213"/>
      <c r="W1217" s="213"/>
      <c r="X1217" s="213"/>
      <c r="Y1217" s="213"/>
      <c r="Z1217" s="213"/>
      <c r="AA1217" s="213"/>
      <c r="AB1217" s="213"/>
      <c r="AC1217" s="207"/>
      <c r="AD1217"/>
      <c r="AE1217" s="206"/>
      <c r="AF1217" s="94"/>
      <c r="AG1217" s="94"/>
      <c r="AH1217" s="94"/>
      <c r="AI1217" s="94"/>
      <c r="AJ1217" s="94"/>
      <c r="AK1217" s="94"/>
      <c r="AL1217" s="94"/>
      <c r="AM1217" s="254"/>
      <c r="AN1217" s="254"/>
      <c r="AO1217" s="94"/>
      <c r="AP1217" s="94"/>
      <c r="AQ1217" s="94"/>
      <c r="AR1217" s="94"/>
      <c r="AS1217" s="207"/>
    </row>
    <row r="1218" spans="13:45" ht="12.75">
      <c r="M1218" s="104"/>
      <c r="O1218" s="206"/>
      <c r="P1218" s="94"/>
      <c r="Q1218" s="180"/>
      <c r="R1218" s="258"/>
      <c r="S1218" s="259"/>
      <c r="T1218" s="213"/>
      <c r="U1218" s="213"/>
      <c r="V1218" s="213"/>
      <c r="W1218" s="213"/>
      <c r="X1218" s="213"/>
      <c r="Y1218" s="213"/>
      <c r="Z1218" s="213"/>
      <c r="AA1218" s="213"/>
      <c r="AB1218" s="213"/>
      <c r="AC1218" s="207"/>
      <c r="AD1218"/>
      <c r="AE1218" s="206"/>
      <c r="AF1218" s="94"/>
      <c r="AG1218" s="94"/>
      <c r="AH1218" s="94"/>
      <c r="AI1218" s="94"/>
      <c r="AJ1218" s="94"/>
      <c r="AK1218" s="94"/>
      <c r="AL1218" s="94"/>
      <c r="AM1218" s="254"/>
      <c r="AN1218" s="254"/>
      <c r="AO1218" s="94"/>
      <c r="AP1218" s="94"/>
      <c r="AQ1218" s="94"/>
      <c r="AR1218" s="94"/>
      <c r="AS1218" s="207"/>
    </row>
    <row r="1219" spans="13:45" ht="12.75">
      <c r="M1219" s="104"/>
      <c r="O1219" s="206"/>
      <c r="P1219" s="94"/>
      <c r="Q1219" s="180"/>
      <c r="R1219" s="258"/>
      <c r="S1219" s="259"/>
      <c r="T1219" s="213"/>
      <c r="U1219" s="213"/>
      <c r="V1219" s="213"/>
      <c r="W1219" s="213"/>
      <c r="X1219" s="213"/>
      <c r="Y1219" s="213"/>
      <c r="Z1219" s="213"/>
      <c r="AA1219" s="213"/>
      <c r="AB1219" s="213"/>
      <c r="AC1219" s="207"/>
      <c r="AD1219"/>
      <c r="AE1219" s="206"/>
      <c r="AF1219" s="94"/>
      <c r="AG1219" s="94"/>
      <c r="AH1219" s="94"/>
      <c r="AI1219" s="94"/>
      <c r="AJ1219" s="94"/>
      <c r="AK1219" s="94"/>
      <c r="AL1219" s="94"/>
      <c r="AM1219" s="254"/>
      <c r="AN1219" s="254"/>
      <c r="AO1219" s="94"/>
      <c r="AP1219" s="94"/>
      <c r="AQ1219" s="94"/>
      <c r="AR1219" s="94"/>
      <c r="AS1219" s="207"/>
    </row>
    <row r="1220" spans="13:45" ht="12.75">
      <c r="M1220" s="104"/>
      <c r="O1220" s="206"/>
      <c r="P1220" s="94"/>
      <c r="Q1220" s="180"/>
      <c r="R1220" s="258"/>
      <c r="S1220" s="259"/>
      <c r="T1220" s="213"/>
      <c r="U1220" s="213"/>
      <c r="V1220" s="213"/>
      <c r="W1220" s="213"/>
      <c r="X1220" s="213"/>
      <c r="Y1220" s="213"/>
      <c r="Z1220" s="213"/>
      <c r="AA1220" s="213"/>
      <c r="AB1220" s="213"/>
      <c r="AC1220" s="207"/>
      <c r="AD1220"/>
      <c r="AE1220" s="206"/>
      <c r="AF1220" s="94"/>
      <c r="AG1220" s="94"/>
      <c r="AH1220" s="94"/>
      <c r="AI1220" s="94"/>
      <c r="AJ1220" s="94"/>
      <c r="AK1220" s="94"/>
      <c r="AL1220" s="94"/>
      <c r="AM1220" s="254"/>
      <c r="AN1220" s="254"/>
      <c r="AO1220" s="94"/>
      <c r="AP1220" s="94"/>
      <c r="AQ1220" s="94"/>
      <c r="AR1220" s="94"/>
      <c r="AS1220" s="207"/>
    </row>
    <row r="1221" spans="13:45" ht="12.75">
      <c r="M1221" s="104"/>
      <c r="O1221" s="206"/>
      <c r="P1221" s="94"/>
      <c r="Q1221" s="180"/>
      <c r="R1221" s="258"/>
      <c r="S1221" s="259"/>
      <c r="T1221" s="213"/>
      <c r="U1221" s="213"/>
      <c r="V1221" s="213"/>
      <c r="W1221" s="213"/>
      <c r="X1221" s="213"/>
      <c r="Y1221" s="213"/>
      <c r="Z1221" s="213"/>
      <c r="AA1221" s="213"/>
      <c r="AB1221" s="213"/>
      <c r="AC1221" s="207"/>
      <c r="AD1221"/>
      <c r="AE1221" s="206"/>
      <c r="AF1221" s="94"/>
      <c r="AG1221" s="94"/>
      <c r="AH1221" s="94"/>
      <c r="AI1221" s="94"/>
      <c r="AJ1221" s="94"/>
      <c r="AK1221" s="94"/>
      <c r="AL1221" s="94"/>
      <c r="AM1221" s="254"/>
      <c r="AN1221" s="254"/>
      <c r="AO1221" s="94"/>
      <c r="AP1221" s="94"/>
      <c r="AQ1221" s="94"/>
      <c r="AR1221" s="94"/>
      <c r="AS1221" s="207"/>
    </row>
    <row r="1222" spans="13:45" ht="12.75">
      <c r="M1222" s="104"/>
      <c r="O1222" s="206"/>
      <c r="P1222" s="94"/>
      <c r="Q1222" s="180"/>
      <c r="R1222" s="258"/>
      <c r="S1222" s="259"/>
      <c r="T1222" s="213"/>
      <c r="U1222" s="213"/>
      <c r="V1222" s="213"/>
      <c r="W1222" s="213"/>
      <c r="X1222" s="213"/>
      <c r="Y1222" s="213"/>
      <c r="Z1222" s="213"/>
      <c r="AA1222" s="213"/>
      <c r="AB1222" s="213"/>
      <c r="AC1222" s="207"/>
      <c r="AD1222"/>
      <c r="AE1222" s="206"/>
      <c r="AF1222" s="94"/>
      <c r="AG1222" s="94"/>
      <c r="AH1222" s="94"/>
      <c r="AI1222" s="94"/>
      <c r="AJ1222" s="94"/>
      <c r="AK1222" s="94"/>
      <c r="AL1222" s="94"/>
      <c r="AM1222" s="254"/>
      <c r="AN1222" s="254"/>
      <c r="AO1222" s="94"/>
      <c r="AP1222" s="94"/>
      <c r="AQ1222" s="94"/>
      <c r="AR1222" s="94"/>
      <c r="AS1222" s="207"/>
    </row>
    <row r="1223" spans="13:45" ht="12.75">
      <c r="M1223" s="104"/>
      <c r="O1223" s="206"/>
      <c r="P1223" s="94"/>
      <c r="Q1223" s="180"/>
      <c r="R1223" s="258"/>
      <c r="S1223" s="259"/>
      <c r="T1223" s="213"/>
      <c r="U1223" s="213"/>
      <c r="V1223" s="213"/>
      <c r="W1223" s="213"/>
      <c r="X1223" s="213"/>
      <c r="Y1223" s="213"/>
      <c r="Z1223" s="213"/>
      <c r="AA1223" s="213"/>
      <c r="AB1223" s="213"/>
      <c r="AC1223" s="207"/>
      <c r="AD1223"/>
      <c r="AE1223" s="206"/>
      <c r="AF1223" s="94"/>
      <c r="AG1223" s="94"/>
      <c r="AH1223" s="94"/>
      <c r="AI1223" s="94"/>
      <c r="AJ1223" s="94"/>
      <c r="AK1223" s="94"/>
      <c r="AL1223" s="94"/>
      <c r="AM1223" s="254"/>
      <c r="AN1223" s="254"/>
      <c r="AO1223" s="94"/>
      <c r="AP1223" s="94"/>
      <c r="AQ1223" s="94"/>
      <c r="AR1223" s="94"/>
      <c r="AS1223" s="207"/>
    </row>
    <row r="1224" spans="13:45" ht="12.75">
      <c r="M1224" s="104"/>
      <c r="O1224" s="206"/>
      <c r="P1224" s="94"/>
      <c r="Q1224" s="180"/>
      <c r="R1224" s="258"/>
      <c r="S1224" s="259"/>
      <c r="T1224" s="213"/>
      <c r="U1224" s="213"/>
      <c r="V1224" s="213"/>
      <c r="W1224" s="213"/>
      <c r="X1224" s="213"/>
      <c r="Y1224" s="213"/>
      <c r="Z1224" s="213"/>
      <c r="AA1224" s="213"/>
      <c r="AB1224" s="213"/>
      <c r="AC1224" s="207"/>
      <c r="AD1224"/>
      <c r="AE1224" s="206"/>
      <c r="AF1224" s="94"/>
      <c r="AG1224" s="94"/>
      <c r="AH1224" s="94"/>
      <c r="AI1224" s="94"/>
      <c r="AJ1224" s="94"/>
      <c r="AK1224" s="94"/>
      <c r="AL1224" s="94"/>
      <c r="AM1224" s="254"/>
      <c r="AN1224" s="254"/>
      <c r="AO1224" s="94"/>
      <c r="AP1224" s="94"/>
      <c r="AQ1224" s="94"/>
      <c r="AR1224" s="94"/>
      <c r="AS1224" s="207"/>
    </row>
    <row r="1225" spans="13:45" ht="12.75">
      <c r="M1225" s="104"/>
      <c r="O1225" s="206"/>
      <c r="P1225" s="94"/>
      <c r="Q1225" s="180"/>
      <c r="R1225" s="258"/>
      <c r="S1225" s="259"/>
      <c r="T1225" s="213"/>
      <c r="U1225" s="213"/>
      <c r="V1225" s="213"/>
      <c r="W1225" s="213"/>
      <c r="X1225" s="213"/>
      <c r="Y1225" s="213"/>
      <c r="Z1225" s="213"/>
      <c r="AA1225" s="213"/>
      <c r="AB1225" s="213"/>
      <c r="AC1225" s="207"/>
      <c r="AD1225"/>
      <c r="AE1225" s="206"/>
      <c r="AF1225" s="94"/>
      <c r="AG1225" s="94"/>
      <c r="AH1225" s="94"/>
      <c r="AI1225" s="94"/>
      <c r="AJ1225" s="94"/>
      <c r="AK1225" s="94"/>
      <c r="AL1225" s="94"/>
      <c r="AM1225" s="254"/>
      <c r="AN1225" s="254"/>
      <c r="AO1225" s="94"/>
      <c r="AP1225" s="94"/>
      <c r="AQ1225" s="94"/>
      <c r="AR1225" s="94"/>
      <c r="AS1225" s="207"/>
    </row>
    <row r="1226" spans="13:45" ht="12.75">
      <c r="M1226" s="104"/>
      <c r="O1226" s="206"/>
      <c r="P1226" s="94"/>
      <c r="Q1226" s="180"/>
      <c r="R1226" s="258"/>
      <c r="S1226" s="259"/>
      <c r="T1226" s="213"/>
      <c r="U1226" s="213"/>
      <c r="V1226" s="213"/>
      <c r="W1226" s="213"/>
      <c r="X1226" s="213"/>
      <c r="Y1226" s="213"/>
      <c r="Z1226" s="213"/>
      <c r="AA1226" s="213"/>
      <c r="AB1226" s="213"/>
      <c r="AC1226" s="207"/>
      <c r="AD1226"/>
      <c r="AE1226" s="206"/>
      <c r="AF1226" s="94"/>
      <c r="AG1226" s="94"/>
      <c r="AH1226" s="94"/>
      <c r="AI1226" s="94"/>
      <c r="AJ1226" s="94"/>
      <c r="AK1226" s="94"/>
      <c r="AL1226" s="94"/>
      <c r="AM1226" s="254"/>
      <c r="AN1226" s="254"/>
      <c r="AO1226" s="94"/>
      <c r="AP1226" s="94"/>
      <c r="AQ1226" s="94"/>
      <c r="AR1226" s="94"/>
      <c r="AS1226" s="207"/>
    </row>
    <row r="1227" spans="13:45" ht="12.75">
      <c r="M1227" s="104"/>
      <c r="O1227" s="206"/>
      <c r="P1227" s="94"/>
      <c r="Q1227" s="180"/>
      <c r="R1227" s="258"/>
      <c r="S1227" s="259"/>
      <c r="T1227" s="213"/>
      <c r="U1227" s="213"/>
      <c r="V1227" s="213"/>
      <c r="W1227" s="213"/>
      <c r="X1227" s="213"/>
      <c r="Y1227" s="213"/>
      <c r="Z1227" s="213"/>
      <c r="AA1227" s="213"/>
      <c r="AB1227" s="213"/>
      <c r="AC1227" s="207"/>
      <c r="AD1227"/>
      <c r="AE1227" s="206"/>
      <c r="AF1227" s="94"/>
      <c r="AG1227" s="94"/>
      <c r="AH1227" s="94"/>
      <c r="AI1227" s="94"/>
      <c r="AJ1227" s="94"/>
      <c r="AK1227" s="94"/>
      <c r="AL1227" s="94"/>
      <c r="AM1227" s="254"/>
      <c r="AN1227" s="254"/>
      <c r="AO1227" s="94"/>
      <c r="AP1227" s="94"/>
      <c r="AQ1227" s="94"/>
      <c r="AR1227" s="94"/>
      <c r="AS1227" s="207"/>
    </row>
    <row r="1228" spans="13:45" ht="12.75">
      <c r="M1228" s="104"/>
      <c r="O1228" s="206"/>
      <c r="P1228" s="94"/>
      <c r="Q1228" s="180"/>
      <c r="R1228" s="258"/>
      <c r="S1228" s="259"/>
      <c r="T1228" s="213"/>
      <c r="U1228" s="213"/>
      <c r="V1228" s="213"/>
      <c r="W1228" s="213"/>
      <c r="X1228" s="213"/>
      <c r="Y1228" s="213"/>
      <c r="Z1228" s="213"/>
      <c r="AA1228" s="213"/>
      <c r="AB1228" s="213"/>
      <c r="AC1228" s="207"/>
      <c r="AD1228"/>
      <c r="AE1228" s="206"/>
      <c r="AF1228" s="94"/>
      <c r="AG1228" s="94"/>
      <c r="AH1228" s="94"/>
      <c r="AI1228" s="94"/>
      <c r="AJ1228" s="94"/>
      <c r="AK1228" s="94"/>
      <c r="AL1228" s="94"/>
      <c r="AM1228" s="254"/>
      <c r="AN1228" s="254"/>
      <c r="AO1228" s="94"/>
      <c r="AP1228" s="94"/>
      <c r="AQ1228" s="94"/>
      <c r="AR1228" s="94"/>
      <c r="AS1228" s="207"/>
    </row>
    <row r="1229" spans="13:45" ht="12.75">
      <c r="M1229" s="104"/>
      <c r="O1229" s="206"/>
      <c r="P1229" s="94"/>
      <c r="Q1229" s="180"/>
      <c r="R1229" s="258"/>
      <c r="S1229" s="259"/>
      <c r="T1229" s="213"/>
      <c r="U1229" s="213"/>
      <c r="V1229" s="213"/>
      <c r="W1229" s="213"/>
      <c r="X1229" s="213"/>
      <c r="Y1229" s="213"/>
      <c r="Z1229" s="213"/>
      <c r="AA1229" s="213"/>
      <c r="AB1229" s="213"/>
      <c r="AC1229" s="207"/>
      <c r="AD1229"/>
      <c r="AE1229" s="206"/>
      <c r="AF1229" s="94"/>
      <c r="AG1229" s="94"/>
      <c r="AH1229" s="94"/>
      <c r="AI1229" s="94"/>
      <c r="AJ1229" s="94"/>
      <c r="AK1229" s="94"/>
      <c r="AL1229" s="94"/>
      <c r="AM1229" s="254"/>
      <c r="AN1229" s="254"/>
      <c r="AO1229" s="94"/>
      <c r="AP1229" s="94"/>
      <c r="AQ1229" s="94"/>
      <c r="AR1229" s="94"/>
      <c r="AS1229" s="207"/>
    </row>
    <row r="1230" spans="13:45" ht="12.75">
      <c r="M1230" s="104"/>
      <c r="O1230" s="206"/>
      <c r="P1230" s="94"/>
      <c r="Q1230" s="180"/>
      <c r="R1230" s="258"/>
      <c r="S1230" s="259"/>
      <c r="T1230" s="213"/>
      <c r="U1230" s="213"/>
      <c r="V1230" s="213"/>
      <c r="W1230" s="213"/>
      <c r="X1230" s="213"/>
      <c r="Y1230" s="213"/>
      <c r="Z1230" s="213"/>
      <c r="AA1230" s="213"/>
      <c r="AB1230" s="213"/>
      <c r="AC1230" s="207"/>
      <c r="AD1230"/>
      <c r="AE1230" s="206"/>
      <c r="AF1230" s="94"/>
      <c r="AG1230" s="94"/>
      <c r="AH1230" s="94"/>
      <c r="AI1230" s="94"/>
      <c r="AJ1230" s="94"/>
      <c r="AK1230" s="94"/>
      <c r="AL1230" s="94"/>
      <c r="AM1230" s="254"/>
      <c r="AN1230" s="254"/>
      <c r="AO1230" s="94"/>
      <c r="AP1230" s="94"/>
      <c r="AQ1230" s="94"/>
      <c r="AR1230" s="94"/>
      <c r="AS1230" s="207"/>
    </row>
    <row r="1231" spans="13:45" ht="12.75">
      <c r="M1231" s="104"/>
      <c r="O1231" s="206"/>
      <c r="P1231" s="94"/>
      <c r="Q1231" s="180"/>
      <c r="R1231" s="258"/>
      <c r="S1231" s="259"/>
      <c r="T1231" s="213"/>
      <c r="U1231" s="213"/>
      <c r="V1231" s="213"/>
      <c r="W1231" s="213"/>
      <c r="X1231" s="213"/>
      <c r="Y1231" s="213"/>
      <c r="Z1231" s="213"/>
      <c r="AA1231" s="213"/>
      <c r="AB1231" s="213"/>
      <c r="AC1231" s="207"/>
      <c r="AD1231"/>
      <c r="AE1231" s="206"/>
      <c r="AF1231" s="94"/>
      <c r="AG1231" s="94"/>
      <c r="AH1231" s="94"/>
      <c r="AI1231" s="94"/>
      <c r="AJ1231" s="94"/>
      <c r="AK1231" s="94"/>
      <c r="AL1231" s="94"/>
      <c r="AM1231" s="254"/>
      <c r="AN1231" s="254"/>
      <c r="AO1231" s="94"/>
      <c r="AP1231" s="94"/>
      <c r="AQ1231" s="94"/>
      <c r="AR1231" s="94"/>
      <c r="AS1231" s="207"/>
    </row>
    <row r="1232" spans="13:45" ht="12.75">
      <c r="M1232" s="104"/>
      <c r="O1232" s="206"/>
      <c r="P1232" s="94"/>
      <c r="Q1232" s="180"/>
      <c r="R1232" s="258"/>
      <c r="S1232" s="259"/>
      <c r="T1232" s="213"/>
      <c r="U1232" s="213"/>
      <c r="V1232" s="213"/>
      <c r="W1232" s="213"/>
      <c r="X1232" s="213"/>
      <c r="Y1232" s="213"/>
      <c r="Z1232" s="213"/>
      <c r="AA1232" s="213"/>
      <c r="AB1232" s="213"/>
      <c r="AC1232" s="207"/>
      <c r="AD1232"/>
      <c r="AE1232" s="206"/>
      <c r="AF1232" s="94"/>
      <c r="AG1232" s="94"/>
      <c r="AH1232" s="94"/>
      <c r="AI1232" s="94"/>
      <c r="AJ1232" s="94"/>
      <c r="AK1232" s="94"/>
      <c r="AL1232" s="94"/>
      <c r="AM1232" s="254"/>
      <c r="AN1232" s="254"/>
      <c r="AO1232" s="94"/>
      <c r="AP1232" s="94"/>
      <c r="AQ1232" s="94"/>
      <c r="AR1232" s="94"/>
      <c r="AS1232" s="207"/>
    </row>
    <row r="1233" spans="13:45" ht="12.75">
      <c r="M1233" s="104"/>
      <c r="O1233" s="206"/>
      <c r="P1233" s="94"/>
      <c r="Q1233" s="180"/>
      <c r="R1233" s="258"/>
      <c r="S1233" s="259"/>
      <c r="T1233" s="213"/>
      <c r="U1233" s="213"/>
      <c r="V1233" s="213"/>
      <c r="W1233" s="213"/>
      <c r="X1233" s="213"/>
      <c r="Y1233" s="213"/>
      <c r="Z1233" s="213"/>
      <c r="AA1233" s="213"/>
      <c r="AB1233" s="213"/>
      <c r="AC1233" s="207"/>
      <c r="AD1233"/>
      <c r="AE1233" s="206"/>
      <c r="AF1233" s="94"/>
      <c r="AG1233" s="94"/>
      <c r="AH1233" s="94"/>
      <c r="AI1233" s="94"/>
      <c r="AJ1233" s="94"/>
      <c r="AK1233" s="94"/>
      <c r="AL1233" s="94"/>
      <c r="AM1233" s="254"/>
      <c r="AN1233" s="254"/>
      <c r="AO1233" s="94"/>
      <c r="AP1233" s="94"/>
      <c r="AQ1233" s="94"/>
      <c r="AR1233" s="94"/>
      <c r="AS1233" s="207"/>
    </row>
    <row r="1234" spans="13:45" ht="12.75">
      <c r="M1234" s="104"/>
      <c r="O1234" s="206"/>
      <c r="P1234" s="94"/>
      <c r="Q1234" s="180"/>
      <c r="R1234" s="258"/>
      <c r="S1234" s="259"/>
      <c r="T1234" s="213"/>
      <c r="U1234" s="213"/>
      <c r="V1234" s="213"/>
      <c r="W1234" s="213"/>
      <c r="X1234" s="213"/>
      <c r="Y1234" s="213"/>
      <c r="Z1234" s="213"/>
      <c r="AA1234" s="213"/>
      <c r="AB1234" s="213"/>
      <c r="AC1234" s="207"/>
      <c r="AD1234"/>
      <c r="AE1234" s="206"/>
      <c r="AF1234" s="94"/>
      <c r="AG1234" s="94"/>
      <c r="AH1234" s="94"/>
      <c r="AI1234" s="94"/>
      <c r="AJ1234" s="94"/>
      <c r="AK1234" s="94"/>
      <c r="AL1234" s="94"/>
      <c r="AM1234" s="254"/>
      <c r="AN1234" s="254"/>
      <c r="AO1234" s="94"/>
      <c r="AP1234" s="94"/>
      <c r="AQ1234" s="94"/>
      <c r="AR1234" s="94"/>
      <c r="AS1234" s="207"/>
    </row>
    <row r="1235" spans="13:45" ht="12.75">
      <c r="M1235" s="104"/>
      <c r="O1235" s="206"/>
      <c r="P1235" s="94"/>
      <c r="Q1235" s="180"/>
      <c r="R1235" s="258"/>
      <c r="S1235" s="259"/>
      <c r="T1235" s="213"/>
      <c r="U1235" s="213"/>
      <c r="V1235" s="213"/>
      <c r="W1235" s="213"/>
      <c r="X1235" s="213"/>
      <c r="Y1235" s="213"/>
      <c r="Z1235" s="213"/>
      <c r="AA1235" s="213"/>
      <c r="AB1235" s="213"/>
      <c r="AC1235" s="207"/>
      <c r="AD1235"/>
      <c r="AE1235" s="206"/>
      <c r="AF1235" s="94"/>
      <c r="AG1235" s="94"/>
      <c r="AH1235" s="94"/>
      <c r="AI1235" s="94"/>
      <c r="AJ1235" s="94"/>
      <c r="AK1235" s="94"/>
      <c r="AL1235" s="94"/>
      <c r="AM1235" s="254"/>
      <c r="AN1235" s="254"/>
      <c r="AO1235" s="94"/>
      <c r="AP1235" s="94"/>
      <c r="AQ1235" s="94"/>
      <c r="AR1235" s="94"/>
      <c r="AS1235" s="207"/>
    </row>
    <row r="1236" spans="13:45" ht="12.75">
      <c r="M1236" s="104"/>
      <c r="O1236" s="206"/>
      <c r="P1236" s="94"/>
      <c r="Q1236" s="180"/>
      <c r="R1236" s="258"/>
      <c r="S1236" s="259"/>
      <c r="T1236" s="213"/>
      <c r="U1236" s="213"/>
      <c r="V1236" s="213"/>
      <c r="W1236" s="213"/>
      <c r="X1236" s="213"/>
      <c r="Y1236" s="213"/>
      <c r="Z1236" s="213"/>
      <c r="AA1236" s="213"/>
      <c r="AB1236" s="213"/>
      <c r="AC1236" s="207"/>
      <c r="AD1236"/>
      <c r="AE1236" s="206"/>
      <c r="AF1236" s="94"/>
      <c r="AG1236" s="94"/>
      <c r="AH1236" s="94"/>
      <c r="AI1236" s="94"/>
      <c r="AJ1236" s="94"/>
      <c r="AK1236" s="94"/>
      <c r="AL1236" s="94"/>
      <c r="AM1236" s="254"/>
      <c r="AN1236" s="254"/>
      <c r="AO1236" s="94"/>
      <c r="AP1236" s="94"/>
      <c r="AQ1236" s="94"/>
      <c r="AR1236" s="94"/>
      <c r="AS1236" s="207"/>
    </row>
    <row r="1237" spans="13:45" ht="12.75">
      <c r="M1237" s="104"/>
      <c r="O1237" s="206"/>
      <c r="P1237" s="94"/>
      <c r="Q1237" s="180"/>
      <c r="R1237" s="258"/>
      <c r="S1237" s="259"/>
      <c r="T1237" s="213"/>
      <c r="U1237" s="213"/>
      <c r="V1237" s="213"/>
      <c r="W1237" s="213"/>
      <c r="X1237" s="213"/>
      <c r="Y1237" s="213"/>
      <c r="Z1237" s="213"/>
      <c r="AA1237" s="213"/>
      <c r="AB1237" s="213"/>
      <c r="AC1237" s="207"/>
      <c r="AD1237"/>
      <c r="AE1237" s="206"/>
      <c r="AF1237" s="94"/>
      <c r="AG1237" s="94"/>
      <c r="AH1237" s="94"/>
      <c r="AI1237" s="94"/>
      <c r="AJ1237" s="94"/>
      <c r="AK1237" s="94"/>
      <c r="AL1237" s="94"/>
      <c r="AM1237" s="254"/>
      <c r="AN1237" s="254"/>
      <c r="AO1237" s="94"/>
      <c r="AP1237" s="94"/>
      <c r="AQ1237" s="94"/>
      <c r="AR1237" s="94"/>
      <c r="AS1237" s="207"/>
    </row>
    <row r="1238" spans="13:45" ht="12.75">
      <c r="M1238" s="104"/>
      <c r="O1238" s="206"/>
      <c r="P1238" s="94"/>
      <c r="Q1238" s="180"/>
      <c r="R1238" s="258"/>
      <c r="S1238" s="259"/>
      <c r="T1238" s="213"/>
      <c r="U1238" s="213"/>
      <c r="V1238" s="213"/>
      <c r="W1238" s="213"/>
      <c r="X1238" s="213"/>
      <c r="Y1238" s="213"/>
      <c r="Z1238" s="213"/>
      <c r="AA1238" s="213"/>
      <c r="AB1238" s="213"/>
      <c r="AC1238" s="207"/>
      <c r="AD1238"/>
      <c r="AE1238" s="206"/>
      <c r="AF1238" s="94"/>
      <c r="AG1238" s="94"/>
      <c r="AH1238" s="94"/>
      <c r="AI1238" s="94"/>
      <c r="AJ1238" s="94"/>
      <c r="AK1238" s="94"/>
      <c r="AL1238" s="94"/>
      <c r="AM1238" s="254"/>
      <c r="AN1238" s="254"/>
      <c r="AO1238" s="94"/>
      <c r="AP1238" s="94"/>
      <c r="AQ1238" s="94"/>
      <c r="AR1238" s="94"/>
      <c r="AS1238" s="207"/>
    </row>
    <row r="1239" spans="13:45" ht="12.75">
      <c r="M1239" s="104"/>
      <c r="O1239" s="206"/>
      <c r="P1239" s="94"/>
      <c r="Q1239" s="180"/>
      <c r="R1239" s="258"/>
      <c r="S1239" s="259"/>
      <c r="T1239" s="213"/>
      <c r="U1239" s="213"/>
      <c r="V1239" s="213"/>
      <c r="W1239" s="213"/>
      <c r="X1239" s="213"/>
      <c r="Y1239" s="213"/>
      <c r="Z1239" s="213"/>
      <c r="AA1239" s="213"/>
      <c r="AB1239" s="213"/>
      <c r="AC1239" s="207"/>
      <c r="AD1239"/>
      <c r="AE1239" s="206"/>
      <c r="AF1239" s="94"/>
      <c r="AG1239" s="94"/>
      <c r="AH1239" s="94"/>
      <c r="AI1239" s="94"/>
      <c r="AJ1239" s="94"/>
      <c r="AK1239" s="94"/>
      <c r="AL1239" s="94"/>
      <c r="AM1239" s="254"/>
      <c r="AN1239" s="254"/>
      <c r="AO1239" s="94"/>
      <c r="AP1239" s="94"/>
      <c r="AQ1239" s="94"/>
      <c r="AR1239" s="94"/>
      <c r="AS1239" s="207"/>
    </row>
    <row r="1240" spans="13:45" ht="12.75">
      <c r="M1240" s="104"/>
      <c r="O1240" s="206"/>
      <c r="P1240" s="94"/>
      <c r="Q1240" s="180"/>
      <c r="R1240" s="258"/>
      <c r="S1240" s="259"/>
      <c r="T1240" s="213"/>
      <c r="U1240" s="213"/>
      <c r="V1240" s="213"/>
      <c r="W1240" s="213"/>
      <c r="X1240" s="213"/>
      <c r="Y1240" s="213"/>
      <c r="Z1240" s="213"/>
      <c r="AA1240" s="213"/>
      <c r="AB1240" s="213"/>
      <c r="AC1240" s="207"/>
      <c r="AD1240"/>
      <c r="AE1240" s="206"/>
      <c r="AF1240" s="94"/>
      <c r="AG1240" s="94"/>
      <c r="AH1240" s="94"/>
      <c r="AI1240" s="94"/>
      <c r="AJ1240" s="94"/>
      <c r="AK1240" s="94"/>
      <c r="AL1240" s="94"/>
      <c r="AM1240" s="254"/>
      <c r="AN1240" s="254"/>
      <c r="AO1240" s="94"/>
      <c r="AP1240" s="94"/>
      <c r="AQ1240" s="94"/>
      <c r="AR1240" s="94"/>
      <c r="AS1240" s="207"/>
    </row>
    <row r="1241" spans="13:45" ht="12.75">
      <c r="M1241" s="104"/>
      <c r="O1241" s="206"/>
      <c r="P1241" s="94"/>
      <c r="Q1241" s="180"/>
      <c r="R1241" s="258"/>
      <c r="S1241" s="259"/>
      <c r="T1241" s="213"/>
      <c r="U1241" s="213"/>
      <c r="V1241" s="213"/>
      <c r="W1241" s="213"/>
      <c r="X1241" s="213"/>
      <c r="Y1241" s="213"/>
      <c r="Z1241" s="213"/>
      <c r="AA1241" s="213"/>
      <c r="AB1241" s="213"/>
      <c r="AC1241" s="207"/>
      <c r="AD1241"/>
      <c r="AE1241" s="206"/>
      <c r="AF1241" s="94"/>
      <c r="AG1241" s="94"/>
      <c r="AH1241" s="94"/>
      <c r="AI1241" s="94"/>
      <c r="AJ1241" s="94"/>
      <c r="AK1241" s="94"/>
      <c r="AL1241" s="94"/>
      <c r="AM1241" s="254"/>
      <c r="AN1241" s="254"/>
      <c r="AO1241" s="94"/>
      <c r="AP1241" s="94"/>
      <c r="AQ1241" s="94"/>
      <c r="AR1241" s="94"/>
      <c r="AS1241" s="207"/>
    </row>
    <row r="1242" spans="13:45" ht="12.75">
      <c r="M1242" s="104"/>
      <c r="O1242" s="206"/>
      <c r="P1242" s="94"/>
      <c r="Q1242" s="180"/>
      <c r="R1242" s="258"/>
      <c r="S1242" s="259"/>
      <c r="T1242" s="213"/>
      <c r="U1242" s="213"/>
      <c r="V1242" s="213"/>
      <c r="W1242" s="213"/>
      <c r="X1242" s="213"/>
      <c r="Y1242" s="213"/>
      <c r="Z1242" s="213"/>
      <c r="AA1242" s="213"/>
      <c r="AB1242" s="213"/>
      <c r="AC1242" s="207"/>
      <c r="AD1242"/>
      <c r="AE1242" s="206"/>
      <c r="AF1242" s="94"/>
      <c r="AG1242" s="94"/>
      <c r="AH1242" s="94"/>
      <c r="AI1242" s="94"/>
      <c r="AJ1242" s="94"/>
      <c r="AK1242" s="94"/>
      <c r="AL1242" s="94"/>
      <c r="AM1242" s="254"/>
      <c r="AN1242" s="254"/>
      <c r="AO1242" s="94"/>
      <c r="AP1242" s="94"/>
      <c r="AQ1242" s="94"/>
      <c r="AR1242" s="94"/>
      <c r="AS1242" s="207"/>
    </row>
    <row r="1243" spans="13:45" ht="12.75">
      <c r="M1243" s="104"/>
      <c r="O1243" s="206"/>
      <c r="P1243" s="94"/>
      <c r="Q1243" s="180"/>
      <c r="R1243" s="258"/>
      <c r="S1243" s="259"/>
      <c r="T1243" s="213"/>
      <c r="U1243" s="213"/>
      <c r="V1243" s="213"/>
      <c r="W1243" s="213"/>
      <c r="X1243" s="213"/>
      <c r="Y1243" s="213"/>
      <c r="Z1243" s="213"/>
      <c r="AA1243" s="213"/>
      <c r="AB1243" s="213"/>
      <c r="AC1243" s="207"/>
      <c r="AD1243"/>
      <c r="AE1243" s="206"/>
      <c r="AF1243" s="94"/>
      <c r="AG1243" s="94"/>
      <c r="AH1243" s="94"/>
      <c r="AI1243" s="94"/>
      <c r="AJ1243" s="94"/>
      <c r="AK1243" s="94"/>
      <c r="AL1243" s="94"/>
      <c r="AM1243" s="254"/>
      <c r="AN1243" s="254"/>
      <c r="AO1243" s="94"/>
      <c r="AP1243" s="94"/>
      <c r="AQ1243" s="94"/>
      <c r="AR1243" s="94"/>
      <c r="AS1243" s="207"/>
    </row>
    <row r="1244" spans="13:45" ht="12.75">
      <c r="M1244" s="104"/>
      <c r="O1244" s="206"/>
      <c r="P1244" s="94"/>
      <c r="Q1244" s="180"/>
      <c r="R1244" s="258"/>
      <c r="S1244" s="259"/>
      <c r="T1244" s="213"/>
      <c r="U1244" s="213"/>
      <c r="V1244" s="213"/>
      <c r="W1244" s="213"/>
      <c r="X1244" s="213"/>
      <c r="Y1244" s="213"/>
      <c r="Z1244" s="213"/>
      <c r="AA1244" s="213"/>
      <c r="AB1244" s="213"/>
      <c r="AC1244" s="207"/>
      <c r="AD1244"/>
      <c r="AE1244" s="206"/>
      <c r="AF1244" s="94"/>
      <c r="AG1244" s="94"/>
      <c r="AH1244" s="94"/>
      <c r="AI1244" s="94"/>
      <c r="AJ1244" s="94"/>
      <c r="AK1244" s="94"/>
      <c r="AL1244" s="94"/>
      <c r="AM1244" s="254"/>
      <c r="AN1244" s="254"/>
      <c r="AO1244" s="94"/>
      <c r="AP1244" s="94"/>
      <c r="AQ1244" s="94"/>
      <c r="AR1244" s="94"/>
      <c r="AS1244" s="207"/>
    </row>
    <row r="1245" spans="13:45" ht="12.75">
      <c r="M1245" s="104"/>
      <c r="O1245" s="206"/>
      <c r="P1245" s="94"/>
      <c r="Q1245" s="180"/>
      <c r="R1245" s="258"/>
      <c r="S1245" s="259"/>
      <c r="T1245" s="213"/>
      <c r="U1245" s="213"/>
      <c r="V1245" s="213"/>
      <c r="W1245" s="213"/>
      <c r="X1245" s="213"/>
      <c r="Y1245" s="213"/>
      <c r="Z1245" s="213"/>
      <c r="AA1245" s="213"/>
      <c r="AB1245" s="213"/>
      <c r="AC1245" s="207"/>
      <c r="AD1245"/>
      <c r="AE1245" s="206"/>
      <c r="AF1245" s="94"/>
      <c r="AG1245" s="94"/>
      <c r="AH1245" s="94"/>
      <c r="AI1245" s="94"/>
      <c r="AJ1245" s="94"/>
      <c r="AK1245" s="94"/>
      <c r="AL1245" s="94"/>
      <c r="AM1245" s="254"/>
      <c r="AN1245" s="254"/>
      <c r="AO1245" s="94"/>
      <c r="AP1245" s="94"/>
      <c r="AQ1245" s="94"/>
      <c r="AR1245" s="94"/>
      <c r="AS1245" s="207"/>
    </row>
    <row r="1246" spans="13:45" ht="12.75">
      <c r="M1246" s="104"/>
      <c r="O1246" s="206"/>
      <c r="P1246" s="94"/>
      <c r="Q1246" s="180"/>
      <c r="R1246" s="258"/>
      <c r="S1246" s="259"/>
      <c r="T1246" s="213"/>
      <c r="U1246" s="213"/>
      <c r="V1246" s="213"/>
      <c r="W1246" s="213"/>
      <c r="X1246" s="213"/>
      <c r="Y1246" s="213"/>
      <c r="Z1246" s="213"/>
      <c r="AA1246" s="213"/>
      <c r="AB1246" s="213"/>
      <c r="AC1246" s="207"/>
      <c r="AD1246"/>
      <c r="AE1246" s="206"/>
      <c r="AF1246" s="94"/>
      <c r="AG1246" s="94"/>
      <c r="AH1246" s="94"/>
      <c r="AI1246" s="94"/>
      <c r="AJ1246" s="94"/>
      <c r="AK1246" s="94"/>
      <c r="AL1246" s="94"/>
      <c r="AM1246" s="254"/>
      <c r="AN1246" s="254"/>
      <c r="AO1246" s="94"/>
      <c r="AP1246" s="94"/>
      <c r="AQ1246" s="94"/>
      <c r="AR1246" s="94"/>
      <c r="AS1246" s="207"/>
    </row>
    <row r="1247" spans="13:45" ht="12.75">
      <c r="M1247" s="104"/>
      <c r="O1247" s="206"/>
      <c r="P1247" s="94"/>
      <c r="Q1247" s="180"/>
      <c r="R1247" s="258"/>
      <c r="S1247" s="259"/>
      <c r="T1247" s="213"/>
      <c r="U1247" s="213"/>
      <c r="V1247" s="213"/>
      <c r="W1247" s="213"/>
      <c r="X1247" s="213"/>
      <c r="Y1247" s="213"/>
      <c r="Z1247" s="213"/>
      <c r="AA1247" s="213"/>
      <c r="AB1247" s="213"/>
      <c r="AC1247" s="207"/>
      <c r="AD1247"/>
      <c r="AE1247" s="206"/>
      <c r="AF1247" s="94"/>
      <c r="AG1247" s="94"/>
      <c r="AH1247" s="94"/>
      <c r="AI1247" s="94"/>
      <c r="AJ1247" s="94"/>
      <c r="AK1247" s="94"/>
      <c r="AL1247" s="94"/>
      <c r="AM1247" s="254"/>
      <c r="AN1247" s="254"/>
      <c r="AO1247" s="94"/>
      <c r="AP1247" s="94"/>
      <c r="AQ1247" s="94"/>
      <c r="AR1247" s="94"/>
      <c r="AS1247" s="207"/>
    </row>
    <row r="1248" spans="13:45" ht="12.75">
      <c r="M1248" s="104"/>
      <c r="O1248" s="206"/>
      <c r="P1248" s="94"/>
      <c r="Q1248" s="180"/>
      <c r="R1248" s="258"/>
      <c r="S1248" s="259"/>
      <c r="T1248" s="213"/>
      <c r="U1248" s="213"/>
      <c r="V1248" s="213"/>
      <c r="W1248" s="213"/>
      <c r="X1248" s="213"/>
      <c r="Y1248" s="213"/>
      <c r="Z1248" s="213"/>
      <c r="AA1248" s="213"/>
      <c r="AB1248" s="213"/>
      <c r="AC1248" s="207"/>
      <c r="AD1248"/>
      <c r="AE1248" s="206"/>
      <c r="AF1248" s="94"/>
      <c r="AG1248" s="94"/>
      <c r="AH1248" s="94"/>
      <c r="AI1248" s="94"/>
      <c r="AJ1248" s="94"/>
      <c r="AK1248" s="94"/>
      <c r="AL1248" s="94"/>
      <c r="AM1248" s="254"/>
      <c r="AN1248" s="254"/>
      <c r="AO1248" s="94"/>
      <c r="AP1248" s="94"/>
      <c r="AQ1248" s="94"/>
      <c r="AR1248" s="94"/>
      <c r="AS1248" s="207"/>
    </row>
    <row r="1249" spans="13:45" ht="12.75">
      <c r="M1249" s="104"/>
      <c r="O1249" s="206"/>
      <c r="P1249" s="94"/>
      <c r="Q1249" s="180"/>
      <c r="R1249" s="258"/>
      <c r="S1249" s="259"/>
      <c r="T1249" s="213"/>
      <c r="U1249" s="213"/>
      <c r="V1249" s="213"/>
      <c r="W1249" s="213"/>
      <c r="X1249" s="213"/>
      <c r="Y1249" s="213"/>
      <c r="Z1249" s="213"/>
      <c r="AA1249" s="213"/>
      <c r="AB1249" s="213"/>
      <c r="AC1249" s="207"/>
      <c r="AD1249"/>
      <c r="AE1249" s="206"/>
      <c r="AF1249" s="94"/>
      <c r="AG1249" s="94"/>
      <c r="AH1249" s="94"/>
      <c r="AI1249" s="94"/>
      <c r="AJ1249" s="94"/>
      <c r="AK1249" s="94"/>
      <c r="AL1249" s="94"/>
      <c r="AM1249" s="254"/>
      <c r="AN1249" s="254"/>
      <c r="AO1249" s="94"/>
      <c r="AP1249" s="94"/>
      <c r="AQ1249" s="94"/>
      <c r="AR1249" s="94"/>
      <c r="AS1249" s="207"/>
    </row>
    <row r="1250" spans="13:45" ht="12.75">
      <c r="M1250" s="104"/>
      <c r="O1250" s="206"/>
      <c r="P1250" s="94"/>
      <c r="Q1250" s="180"/>
      <c r="R1250" s="258"/>
      <c r="S1250" s="259"/>
      <c r="T1250" s="213"/>
      <c r="U1250" s="213"/>
      <c r="V1250" s="213"/>
      <c r="W1250" s="213"/>
      <c r="X1250" s="213"/>
      <c r="Y1250" s="213"/>
      <c r="Z1250" s="213"/>
      <c r="AA1250" s="213"/>
      <c r="AB1250" s="213"/>
      <c r="AC1250" s="207"/>
      <c r="AD1250"/>
      <c r="AE1250" s="206"/>
      <c r="AF1250" s="94"/>
      <c r="AG1250" s="94"/>
      <c r="AH1250" s="94"/>
      <c r="AI1250" s="94"/>
      <c r="AJ1250" s="94"/>
      <c r="AK1250" s="94"/>
      <c r="AL1250" s="94"/>
      <c r="AM1250" s="254"/>
      <c r="AN1250" s="254"/>
      <c r="AO1250" s="94"/>
      <c r="AP1250" s="94"/>
      <c r="AQ1250" s="94"/>
      <c r="AR1250" s="94"/>
      <c r="AS1250" s="207"/>
    </row>
    <row r="1251" spans="13:45" ht="12.75">
      <c r="M1251" s="104"/>
      <c r="O1251" s="206"/>
      <c r="P1251" s="94"/>
      <c r="Q1251" s="180"/>
      <c r="R1251" s="258"/>
      <c r="S1251" s="259"/>
      <c r="T1251" s="213"/>
      <c r="U1251" s="213"/>
      <c r="V1251" s="213"/>
      <c r="W1251" s="213"/>
      <c r="X1251" s="213"/>
      <c r="Y1251" s="213"/>
      <c r="Z1251" s="213"/>
      <c r="AA1251" s="213"/>
      <c r="AB1251" s="213"/>
      <c r="AC1251" s="207"/>
      <c r="AD1251"/>
      <c r="AE1251" s="206"/>
      <c r="AF1251" s="94"/>
      <c r="AG1251" s="94"/>
      <c r="AH1251" s="94"/>
      <c r="AI1251" s="94"/>
      <c r="AJ1251" s="94"/>
      <c r="AK1251" s="94"/>
      <c r="AL1251" s="94"/>
      <c r="AM1251" s="254"/>
      <c r="AN1251" s="254"/>
      <c r="AO1251" s="94"/>
      <c r="AP1251" s="94"/>
      <c r="AQ1251" s="94"/>
      <c r="AR1251" s="94"/>
      <c r="AS1251" s="207"/>
    </row>
    <row r="1252" spans="13:45" ht="12.75">
      <c r="M1252" s="104"/>
      <c r="O1252" s="206"/>
      <c r="P1252" s="94"/>
      <c r="Q1252" s="180"/>
      <c r="R1252" s="258"/>
      <c r="S1252" s="259"/>
      <c r="T1252" s="213"/>
      <c r="U1252" s="213"/>
      <c r="V1252" s="213"/>
      <c r="W1252" s="213"/>
      <c r="X1252" s="213"/>
      <c r="Y1252" s="213"/>
      <c r="Z1252" s="213"/>
      <c r="AA1252" s="213"/>
      <c r="AB1252" s="213"/>
      <c r="AC1252" s="207"/>
      <c r="AD1252"/>
      <c r="AE1252" s="206"/>
      <c r="AF1252" s="94"/>
      <c r="AG1252" s="94"/>
      <c r="AH1252" s="94"/>
      <c r="AI1252" s="94"/>
      <c r="AJ1252" s="94"/>
      <c r="AK1252" s="94"/>
      <c r="AL1252" s="94"/>
      <c r="AM1252" s="254"/>
      <c r="AN1252" s="254"/>
      <c r="AO1252" s="94"/>
      <c r="AP1252" s="94"/>
      <c r="AQ1252" s="94"/>
      <c r="AR1252" s="94"/>
      <c r="AS1252" s="207"/>
    </row>
    <row r="1253" spans="13:45" ht="12.75">
      <c r="M1253" s="104"/>
      <c r="O1253" s="206"/>
      <c r="P1253" s="94"/>
      <c r="Q1253" s="180"/>
      <c r="R1253" s="258"/>
      <c r="S1253" s="259"/>
      <c r="T1253" s="213"/>
      <c r="U1253" s="213"/>
      <c r="V1253" s="213"/>
      <c r="W1253" s="213"/>
      <c r="X1253" s="213"/>
      <c r="Y1253" s="213"/>
      <c r="Z1253" s="213"/>
      <c r="AA1253" s="213"/>
      <c r="AB1253" s="213"/>
      <c r="AC1253" s="207"/>
      <c r="AD1253"/>
      <c r="AE1253" s="206"/>
      <c r="AF1253" s="94"/>
      <c r="AG1253" s="94"/>
      <c r="AH1253" s="94"/>
      <c r="AI1253" s="94"/>
      <c r="AJ1253" s="94"/>
      <c r="AK1253" s="94"/>
      <c r="AL1253" s="94"/>
      <c r="AM1253" s="254"/>
      <c r="AN1253" s="254"/>
      <c r="AO1253" s="94"/>
      <c r="AP1253" s="94"/>
      <c r="AQ1253" s="94"/>
      <c r="AR1253" s="94"/>
      <c r="AS1253" s="207"/>
    </row>
    <row r="1254" spans="13:45" ht="12.75">
      <c r="M1254" s="104"/>
      <c r="O1254" s="206"/>
      <c r="P1254" s="94"/>
      <c r="Q1254" s="180"/>
      <c r="R1254" s="258"/>
      <c r="S1254" s="259"/>
      <c r="T1254" s="213"/>
      <c r="U1254" s="213"/>
      <c r="V1254" s="213"/>
      <c r="W1254" s="213"/>
      <c r="X1254" s="213"/>
      <c r="Y1254" s="213"/>
      <c r="Z1254" s="213"/>
      <c r="AA1254" s="213"/>
      <c r="AB1254" s="213"/>
      <c r="AC1254" s="207"/>
      <c r="AD1254"/>
      <c r="AE1254" s="206"/>
      <c r="AF1254" s="94"/>
      <c r="AG1254" s="94"/>
      <c r="AH1254" s="94"/>
      <c r="AI1254" s="94"/>
      <c r="AJ1254" s="94"/>
      <c r="AK1254" s="94"/>
      <c r="AL1254" s="94"/>
      <c r="AM1254" s="254"/>
      <c r="AN1254" s="254"/>
      <c r="AO1254" s="94"/>
      <c r="AP1254" s="94"/>
      <c r="AQ1254" s="94"/>
      <c r="AR1254" s="94"/>
      <c r="AS1254" s="207"/>
    </row>
    <row r="1255" spans="13:45" ht="12.75">
      <c r="M1255" s="104"/>
      <c r="O1255" s="206"/>
      <c r="P1255" s="94"/>
      <c r="Q1255" s="180"/>
      <c r="R1255" s="258"/>
      <c r="S1255" s="259"/>
      <c r="T1255" s="213"/>
      <c r="U1255" s="213"/>
      <c r="V1255" s="213"/>
      <c r="W1255" s="213"/>
      <c r="X1255" s="213"/>
      <c r="Y1255" s="213"/>
      <c r="Z1255" s="213"/>
      <c r="AA1255" s="213"/>
      <c r="AB1255" s="213"/>
      <c r="AC1255" s="207"/>
      <c r="AD1255"/>
      <c r="AE1255" s="206"/>
      <c r="AF1255" s="94"/>
      <c r="AG1255" s="94"/>
      <c r="AH1255" s="94"/>
      <c r="AI1255" s="94"/>
      <c r="AJ1255" s="94"/>
      <c r="AK1255" s="94"/>
      <c r="AL1255" s="94"/>
      <c r="AM1255" s="254"/>
      <c r="AN1255" s="254"/>
      <c r="AO1255" s="94"/>
      <c r="AP1255" s="94"/>
      <c r="AQ1255" s="94"/>
      <c r="AR1255" s="94"/>
      <c r="AS1255" s="207"/>
    </row>
    <row r="1256" spans="13:45" ht="12.75">
      <c r="M1256" s="104"/>
      <c r="O1256" s="206"/>
      <c r="P1256" s="94"/>
      <c r="Q1256" s="180"/>
      <c r="R1256" s="258"/>
      <c r="S1256" s="259"/>
      <c r="T1256" s="213"/>
      <c r="U1256" s="213"/>
      <c r="V1256" s="213"/>
      <c r="W1256" s="213"/>
      <c r="X1256" s="213"/>
      <c r="Y1256" s="213"/>
      <c r="Z1256" s="213"/>
      <c r="AA1256" s="213"/>
      <c r="AB1256" s="213"/>
      <c r="AC1256" s="207"/>
      <c r="AD1256"/>
      <c r="AE1256" s="206"/>
      <c r="AF1256" s="94"/>
      <c r="AG1256" s="94"/>
      <c r="AH1256" s="94"/>
      <c r="AI1256" s="94"/>
      <c r="AJ1256" s="94"/>
      <c r="AK1256" s="94"/>
      <c r="AL1256" s="94"/>
      <c r="AM1256" s="254"/>
      <c r="AN1256" s="254"/>
      <c r="AO1256" s="94"/>
      <c r="AP1256" s="94"/>
      <c r="AQ1256" s="94"/>
      <c r="AR1256" s="94"/>
      <c r="AS1256" s="207"/>
    </row>
    <row r="1257" spans="13:45" ht="12.75">
      <c r="M1257" s="104"/>
      <c r="O1257" s="206"/>
      <c r="P1257" s="94"/>
      <c r="Q1257" s="180"/>
      <c r="R1257" s="258"/>
      <c r="S1257" s="259"/>
      <c r="T1257" s="213"/>
      <c r="U1257" s="213"/>
      <c r="V1257" s="213"/>
      <c r="W1257" s="213"/>
      <c r="X1257" s="213"/>
      <c r="Y1257" s="213"/>
      <c r="Z1257" s="213"/>
      <c r="AA1257" s="213"/>
      <c r="AB1257" s="213"/>
      <c r="AC1257" s="207"/>
      <c r="AD1257"/>
      <c r="AE1257" s="206"/>
      <c r="AF1257" s="94"/>
      <c r="AG1257" s="94"/>
      <c r="AH1257" s="94"/>
      <c r="AI1257" s="94"/>
      <c r="AJ1257" s="94"/>
      <c r="AK1257" s="94"/>
      <c r="AL1257" s="94"/>
      <c r="AM1257" s="254"/>
      <c r="AN1257" s="254"/>
      <c r="AO1257" s="94"/>
      <c r="AP1257" s="94"/>
      <c r="AQ1257" s="94"/>
      <c r="AR1257" s="94"/>
      <c r="AS1257" s="207"/>
    </row>
    <row r="1258" spans="13:45" ht="12.75">
      <c r="M1258" s="104"/>
      <c r="O1258" s="206"/>
      <c r="P1258" s="94"/>
      <c r="Q1258" s="180"/>
      <c r="R1258" s="258"/>
      <c r="S1258" s="259"/>
      <c r="T1258" s="213"/>
      <c r="U1258" s="213"/>
      <c r="V1258" s="213"/>
      <c r="W1258" s="213"/>
      <c r="X1258" s="213"/>
      <c r="Y1258" s="213"/>
      <c r="Z1258" s="213"/>
      <c r="AA1258" s="213"/>
      <c r="AB1258" s="213"/>
      <c r="AC1258" s="207"/>
      <c r="AD1258"/>
      <c r="AE1258" s="206"/>
      <c r="AF1258" s="94"/>
      <c r="AG1258" s="94"/>
      <c r="AH1258" s="94"/>
      <c r="AI1258" s="94"/>
      <c r="AJ1258" s="94"/>
      <c r="AK1258" s="94"/>
      <c r="AL1258" s="94"/>
      <c r="AM1258" s="254"/>
      <c r="AN1258" s="254"/>
      <c r="AO1258" s="94"/>
      <c r="AP1258" s="94"/>
      <c r="AQ1258" s="94"/>
      <c r="AR1258" s="94"/>
      <c r="AS1258" s="207"/>
    </row>
    <row r="1259" spans="13:45" ht="12.75">
      <c r="M1259" s="104"/>
      <c r="O1259" s="206"/>
      <c r="P1259" s="94"/>
      <c r="Q1259" s="180"/>
      <c r="R1259" s="258"/>
      <c r="S1259" s="259"/>
      <c r="T1259" s="213"/>
      <c r="U1259" s="213"/>
      <c r="V1259" s="213"/>
      <c r="W1259" s="213"/>
      <c r="X1259" s="213"/>
      <c r="Y1259" s="213"/>
      <c r="Z1259" s="213"/>
      <c r="AA1259" s="213"/>
      <c r="AB1259" s="213"/>
      <c r="AC1259" s="207"/>
      <c r="AD1259"/>
      <c r="AE1259" s="206"/>
      <c r="AF1259" s="94"/>
      <c r="AG1259" s="94"/>
      <c r="AH1259" s="94"/>
      <c r="AI1259" s="94"/>
      <c r="AJ1259" s="94"/>
      <c r="AK1259" s="94"/>
      <c r="AL1259" s="94"/>
      <c r="AM1259" s="254"/>
      <c r="AN1259" s="254"/>
      <c r="AO1259" s="94"/>
      <c r="AP1259" s="94"/>
      <c r="AQ1259" s="94"/>
      <c r="AR1259" s="94"/>
      <c r="AS1259" s="207"/>
    </row>
    <row r="1260" spans="13:45" ht="12.75">
      <c r="M1260" s="104"/>
      <c r="O1260" s="206"/>
      <c r="P1260" s="94"/>
      <c r="Q1260" s="180"/>
      <c r="R1260" s="258"/>
      <c r="S1260" s="259"/>
      <c r="T1260" s="213"/>
      <c r="U1260" s="213"/>
      <c r="V1260" s="213"/>
      <c r="W1260" s="213"/>
      <c r="X1260" s="213"/>
      <c r="Y1260" s="213"/>
      <c r="Z1260" s="213"/>
      <c r="AA1260" s="213"/>
      <c r="AB1260" s="213"/>
      <c r="AC1260" s="207"/>
      <c r="AD1260"/>
      <c r="AE1260" s="206"/>
      <c r="AF1260" s="94"/>
      <c r="AG1260" s="94"/>
      <c r="AH1260" s="94"/>
      <c r="AI1260" s="94"/>
      <c r="AJ1260" s="94"/>
      <c r="AK1260" s="94"/>
      <c r="AL1260" s="94"/>
      <c r="AM1260" s="254"/>
      <c r="AN1260" s="254"/>
      <c r="AO1260" s="94"/>
      <c r="AP1260" s="94"/>
      <c r="AQ1260" s="94"/>
      <c r="AR1260" s="94"/>
      <c r="AS1260" s="207"/>
    </row>
    <row r="1261" spans="13:45" ht="12.75">
      <c r="M1261" s="104"/>
      <c r="O1261" s="206"/>
      <c r="P1261" s="94"/>
      <c r="Q1261" s="180"/>
      <c r="R1261" s="258"/>
      <c r="S1261" s="259"/>
      <c r="T1261" s="213"/>
      <c r="U1261" s="213"/>
      <c r="V1261" s="213"/>
      <c r="W1261" s="213"/>
      <c r="X1261" s="213"/>
      <c r="Y1261" s="213"/>
      <c r="Z1261" s="213"/>
      <c r="AA1261" s="213"/>
      <c r="AB1261" s="213"/>
      <c r="AC1261" s="207"/>
      <c r="AD1261"/>
      <c r="AE1261" s="206"/>
      <c r="AF1261" s="94"/>
      <c r="AG1261" s="94"/>
      <c r="AH1261" s="94"/>
      <c r="AI1261" s="94"/>
      <c r="AJ1261" s="94"/>
      <c r="AK1261" s="94"/>
      <c r="AL1261" s="94"/>
      <c r="AM1261" s="254"/>
      <c r="AN1261" s="254"/>
      <c r="AO1261" s="94"/>
      <c r="AP1261" s="94"/>
      <c r="AQ1261" s="94"/>
      <c r="AR1261" s="94"/>
      <c r="AS1261" s="207"/>
    </row>
    <row r="1262" spans="13:45" ht="12.75">
      <c r="M1262" s="104"/>
      <c r="O1262" s="206"/>
      <c r="P1262" s="94"/>
      <c r="Q1262" s="180"/>
      <c r="R1262" s="258"/>
      <c r="S1262" s="259"/>
      <c r="T1262" s="213"/>
      <c r="U1262" s="213"/>
      <c r="V1262" s="213"/>
      <c r="W1262" s="213"/>
      <c r="X1262" s="213"/>
      <c r="Y1262" s="213"/>
      <c r="Z1262" s="213"/>
      <c r="AA1262" s="213"/>
      <c r="AB1262" s="213"/>
      <c r="AC1262" s="207"/>
      <c r="AD1262"/>
      <c r="AE1262" s="206"/>
      <c r="AF1262" s="94"/>
      <c r="AG1262" s="94"/>
      <c r="AH1262" s="94"/>
      <c r="AI1262" s="94"/>
      <c r="AJ1262" s="94"/>
      <c r="AK1262" s="94"/>
      <c r="AL1262" s="94"/>
      <c r="AM1262" s="254"/>
      <c r="AN1262" s="254"/>
      <c r="AO1262" s="94"/>
      <c r="AP1262" s="94"/>
      <c r="AQ1262" s="94"/>
      <c r="AR1262" s="94"/>
      <c r="AS1262" s="207"/>
    </row>
    <row r="1263" spans="13:45" ht="12.75">
      <c r="M1263" s="104"/>
      <c r="O1263" s="206"/>
      <c r="P1263" s="94"/>
      <c r="Q1263" s="180"/>
      <c r="R1263" s="258"/>
      <c r="S1263" s="259"/>
      <c r="T1263" s="213"/>
      <c r="U1263" s="213"/>
      <c r="V1263" s="213"/>
      <c r="W1263" s="213"/>
      <c r="X1263" s="213"/>
      <c r="Y1263" s="213"/>
      <c r="Z1263" s="213"/>
      <c r="AA1263" s="213"/>
      <c r="AB1263" s="213"/>
      <c r="AC1263" s="207"/>
      <c r="AD1263"/>
      <c r="AE1263" s="206"/>
      <c r="AF1263" s="94"/>
      <c r="AG1263" s="94"/>
      <c r="AH1263" s="94"/>
      <c r="AI1263" s="94"/>
      <c r="AJ1263" s="94"/>
      <c r="AK1263" s="94"/>
      <c r="AL1263" s="94"/>
      <c r="AM1263" s="254"/>
      <c r="AN1263" s="254"/>
      <c r="AO1263" s="94"/>
      <c r="AP1263" s="94"/>
      <c r="AQ1263" s="94"/>
      <c r="AR1263" s="94"/>
      <c r="AS1263" s="207"/>
    </row>
    <row r="1264" spans="13:45" ht="12.75">
      <c r="M1264" s="104"/>
      <c r="O1264" s="206"/>
      <c r="P1264" s="94"/>
      <c r="Q1264" s="180"/>
      <c r="R1264" s="258"/>
      <c r="S1264" s="259"/>
      <c r="T1264" s="213"/>
      <c r="U1264" s="213"/>
      <c r="V1264" s="213"/>
      <c r="W1264" s="213"/>
      <c r="X1264" s="213"/>
      <c r="Y1264" s="213"/>
      <c r="Z1264" s="213"/>
      <c r="AA1264" s="213"/>
      <c r="AB1264" s="213"/>
      <c r="AC1264" s="207"/>
      <c r="AD1264"/>
      <c r="AE1264" s="206"/>
      <c r="AF1264" s="94"/>
      <c r="AG1264" s="94"/>
      <c r="AH1264" s="94"/>
      <c r="AI1264" s="94"/>
      <c r="AJ1264" s="94"/>
      <c r="AK1264" s="94"/>
      <c r="AL1264" s="94"/>
      <c r="AM1264" s="254"/>
      <c r="AN1264" s="254"/>
      <c r="AO1264" s="94"/>
      <c r="AP1264" s="94"/>
      <c r="AQ1264" s="94"/>
      <c r="AR1264" s="94"/>
      <c r="AS1264" s="207"/>
    </row>
    <row r="1265" spans="13:45" ht="12.75">
      <c r="M1265" s="104"/>
      <c r="O1265" s="206"/>
      <c r="P1265" s="94"/>
      <c r="Q1265" s="180"/>
      <c r="R1265" s="258"/>
      <c r="S1265" s="259"/>
      <c r="T1265" s="213"/>
      <c r="U1265" s="213"/>
      <c r="V1265" s="213"/>
      <c r="W1265" s="213"/>
      <c r="X1265" s="213"/>
      <c r="Y1265" s="213"/>
      <c r="Z1265" s="213"/>
      <c r="AA1265" s="213"/>
      <c r="AB1265" s="213"/>
      <c r="AC1265" s="207"/>
      <c r="AD1265"/>
      <c r="AE1265" s="206"/>
      <c r="AF1265" s="94"/>
      <c r="AG1265" s="94"/>
      <c r="AH1265" s="94"/>
      <c r="AI1265" s="94"/>
      <c r="AJ1265" s="94"/>
      <c r="AK1265" s="94"/>
      <c r="AL1265" s="94"/>
      <c r="AM1265" s="254"/>
      <c r="AN1265" s="254"/>
      <c r="AO1265" s="94"/>
      <c r="AP1265" s="94"/>
      <c r="AQ1265" s="94"/>
      <c r="AR1265" s="94"/>
      <c r="AS1265" s="207"/>
    </row>
    <row r="1266" spans="13:45" ht="12.75">
      <c r="M1266" s="104"/>
      <c r="O1266" s="206"/>
      <c r="P1266" s="94"/>
      <c r="Q1266" s="180"/>
      <c r="R1266" s="258"/>
      <c r="S1266" s="259"/>
      <c r="T1266" s="213"/>
      <c r="U1266" s="213"/>
      <c r="V1266" s="213"/>
      <c r="W1266" s="213"/>
      <c r="X1266" s="213"/>
      <c r="Y1266" s="213"/>
      <c r="Z1266" s="213"/>
      <c r="AA1266" s="213"/>
      <c r="AB1266" s="213"/>
      <c r="AC1266" s="207"/>
      <c r="AD1266"/>
      <c r="AE1266" s="206"/>
      <c r="AF1266" s="94"/>
      <c r="AG1266" s="94"/>
      <c r="AH1266" s="94"/>
      <c r="AI1266" s="94"/>
      <c r="AJ1266" s="94"/>
      <c r="AK1266" s="94"/>
      <c r="AL1266" s="94"/>
      <c r="AM1266" s="254"/>
      <c r="AN1266" s="254"/>
      <c r="AO1266" s="94"/>
      <c r="AP1266" s="94"/>
      <c r="AQ1266" s="94"/>
      <c r="AR1266" s="94"/>
      <c r="AS1266" s="207"/>
    </row>
    <row r="1267" spans="13:45" ht="12.75">
      <c r="M1267" s="104"/>
      <c r="O1267" s="206"/>
      <c r="P1267" s="94"/>
      <c r="Q1267" s="180"/>
      <c r="R1267" s="258"/>
      <c r="S1267" s="259"/>
      <c r="T1267" s="213"/>
      <c r="U1267" s="213"/>
      <c r="V1267" s="213"/>
      <c r="W1267" s="213"/>
      <c r="X1267" s="213"/>
      <c r="Y1267" s="213"/>
      <c r="Z1267" s="213"/>
      <c r="AA1267" s="213"/>
      <c r="AB1267" s="213"/>
      <c r="AC1267" s="207"/>
      <c r="AD1267"/>
      <c r="AE1267" s="206"/>
      <c r="AF1267" s="94"/>
      <c r="AG1267" s="94"/>
      <c r="AH1267" s="94"/>
      <c r="AI1267" s="94"/>
      <c r="AJ1267" s="94"/>
      <c r="AK1267" s="94"/>
      <c r="AL1267" s="94"/>
      <c r="AM1267" s="254"/>
      <c r="AN1267" s="254"/>
      <c r="AO1267" s="94"/>
      <c r="AP1267" s="94"/>
      <c r="AQ1267" s="94"/>
      <c r="AR1267" s="94"/>
      <c r="AS1267" s="207"/>
    </row>
    <row r="1268" spans="13:45" ht="12.75">
      <c r="M1268" s="104"/>
      <c r="O1268" s="206"/>
      <c r="P1268" s="94"/>
      <c r="Q1268" s="180"/>
      <c r="R1268" s="258"/>
      <c r="S1268" s="259"/>
      <c r="T1268" s="213"/>
      <c r="U1268" s="213"/>
      <c r="V1268" s="213"/>
      <c r="W1268" s="213"/>
      <c r="X1268" s="213"/>
      <c r="Y1268" s="213"/>
      <c r="Z1268" s="213"/>
      <c r="AA1268" s="213"/>
      <c r="AB1268" s="213"/>
      <c r="AC1268" s="207"/>
      <c r="AD1268"/>
      <c r="AE1268" s="206"/>
      <c r="AF1268" s="94"/>
      <c r="AG1268" s="94"/>
      <c r="AH1268" s="94"/>
      <c r="AI1268" s="94"/>
      <c r="AJ1268" s="94"/>
      <c r="AK1268" s="94"/>
      <c r="AL1268" s="94"/>
      <c r="AM1268" s="254"/>
      <c r="AN1268" s="254"/>
      <c r="AO1268" s="94"/>
      <c r="AP1268" s="94"/>
      <c r="AQ1268" s="94"/>
      <c r="AR1268" s="94"/>
      <c r="AS1268" s="207"/>
    </row>
    <row r="1269" spans="13:45" ht="12.75">
      <c r="M1269" s="104"/>
      <c r="O1269" s="206"/>
      <c r="P1269" s="94"/>
      <c r="Q1269" s="180"/>
      <c r="R1269" s="258"/>
      <c r="S1269" s="259"/>
      <c r="T1269" s="213"/>
      <c r="U1269" s="213"/>
      <c r="V1269" s="213"/>
      <c r="W1269" s="213"/>
      <c r="X1269" s="213"/>
      <c r="Y1269" s="213"/>
      <c r="Z1269" s="213"/>
      <c r="AA1269" s="213"/>
      <c r="AB1269" s="213"/>
      <c r="AC1269" s="207"/>
      <c r="AD1269"/>
      <c r="AE1269" s="206"/>
      <c r="AF1269" s="94"/>
      <c r="AG1269" s="94"/>
      <c r="AH1269" s="94"/>
      <c r="AI1269" s="94"/>
      <c r="AJ1269" s="94"/>
      <c r="AK1269" s="94"/>
      <c r="AL1269" s="94"/>
      <c r="AM1269" s="254"/>
      <c r="AN1269" s="254"/>
      <c r="AO1269" s="94"/>
      <c r="AP1269" s="94"/>
      <c r="AQ1269" s="94"/>
      <c r="AR1269" s="94"/>
      <c r="AS1269" s="207"/>
    </row>
    <row r="1270" spans="13:45" ht="12.75">
      <c r="M1270" s="104"/>
      <c r="O1270" s="206"/>
      <c r="P1270" s="94"/>
      <c r="Q1270" s="180"/>
      <c r="R1270" s="258"/>
      <c r="S1270" s="259"/>
      <c r="T1270" s="213"/>
      <c r="U1270" s="213"/>
      <c r="V1270" s="213"/>
      <c r="W1270" s="213"/>
      <c r="X1270" s="213"/>
      <c r="Y1270" s="213"/>
      <c r="Z1270" s="213"/>
      <c r="AA1270" s="213"/>
      <c r="AB1270" s="213"/>
      <c r="AC1270" s="207"/>
      <c r="AD1270"/>
      <c r="AE1270" s="206"/>
      <c r="AF1270" s="94"/>
      <c r="AG1270" s="94"/>
      <c r="AH1270" s="94"/>
      <c r="AI1270" s="94"/>
      <c r="AJ1270" s="94"/>
      <c r="AK1270" s="94"/>
      <c r="AL1270" s="94"/>
      <c r="AM1270" s="254"/>
      <c r="AN1270" s="254"/>
      <c r="AO1270" s="94"/>
      <c r="AP1270" s="94"/>
      <c r="AQ1270" s="94"/>
      <c r="AR1270" s="94"/>
      <c r="AS1270" s="207"/>
    </row>
    <row r="1271" spans="13:45" ht="12.75">
      <c r="M1271" s="104"/>
      <c r="O1271" s="206"/>
      <c r="P1271" s="94"/>
      <c r="Q1271" s="180"/>
      <c r="R1271" s="258"/>
      <c r="S1271" s="259"/>
      <c r="T1271" s="213"/>
      <c r="U1271" s="213"/>
      <c r="V1271" s="213"/>
      <c r="W1271" s="213"/>
      <c r="X1271" s="213"/>
      <c r="Y1271" s="213"/>
      <c r="Z1271" s="213"/>
      <c r="AA1271" s="213"/>
      <c r="AB1271" s="213"/>
      <c r="AC1271" s="207"/>
      <c r="AD1271"/>
      <c r="AE1271" s="206"/>
      <c r="AF1271" s="94"/>
      <c r="AG1271" s="94"/>
      <c r="AH1271" s="94"/>
      <c r="AI1271" s="94"/>
      <c r="AJ1271" s="94"/>
      <c r="AK1271" s="94"/>
      <c r="AL1271" s="94"/>
      <c r="AM1271" s="254"/>
      <c r="AN1271" s="254"/>
      <c r="AO1271" s="94"/>
      <c r="AP1271" s="94"/>
      <c r="AQ1271" s="94"/>
      <c r="AR1271" s="94"/>
      <c r="AS1271" s="207"/>
    </row>
    <row r="1272" spans="13:45" ht="12.75">
      <c r="M1272" s="104"/>
      <c r="O1272" s="206"/>
      <c r="P1272" s="94"/>
      <c r="Q1272" s="180"/>
      <c r="R1272" s="258"/>
      <c r="S1272" s="259"/>
      <c r="T1272" s="213"/>
      <c r="U1272" s="213"/>
      <c r="V1272" s="213"/>
      <c r="W1272" s="213"/>
      <c r="X1272" s="213"/>
      <c r="Y1272" s="213"/>
      <c r="Z1272" s="213"/>
      <c r="AA1272" s="213"/>
      <c r="AB1272" s="213"/>
      <c r="AC1272" s="207"/>
      <c r="AD1272"/>
      <c r="AE1272" s="206"/>
      <c r="AF1272" s="94"/>
      <c r="AG1272" s="94"/>
      <c r="AH1272" s="94"/>
      <c r="AI1272" s="94"/>
      <c r="AJ1272" s="94"/>
      <c r="AK1272" s="94"/>
      <c r="AL1272" s="94"/>
      <c r="AM1272" s="254"/>
      <c r="AN1272" s="254"/>
      <c r="AO1272" s="94"/>
      <c r="AP1272" s="94"/>
      <c r="AQ1272" s="94"/>
      <c r="AR1272" s="94"/>
      <c r="AS1272" s="207"/>
    </row>
    <row r="1273" spans="13:45" ht="12.75">
      <c r="M1273" s="104"/>
      <c r="O1273" s="206"/>
      <c r="P1273" s="94"/>
      <c r="Q1273" s="180"/>
      <c r="R1273" s="258"/>
      <c r="S1273" s="259"/>
      <c r="T1273" s="213"/>
      <c r="U1273" s="213"/>
      <c r="V1273" s="213"/>
      <c r="W1273" s="213"/>
      <c r="X1273" s="213"/>
      <c r="Y1273" s="213"/>
      <c r="Z1273" s="213"/>
      <c r="AA1273" s="213"/>
      <c r="AB1273" s="213"/>
      <c r="AC1273" s="207"/>
      <c r="AD1273"/>
      <c r="AE1273" s="206"/>
      <c r="AF1273" s="94"/>
      <c r="AG1273" s="94"/>
      <c r="AH1273" s="94"/>
      <c r="AI1273" s="94"/>
      <c r="AJ1273" s="94"/>
      <c r="AK1273" s="94"/>
      <c r="AL1273" s="94"/>
      <c r="AM1273" s="254"/>
      <c r="AN1273" s="254"/>
      <c r="AO1273" s="94"/>
      <c r="AP1273" s="94"/>
      <c r="AQ1273" s="94"/>
      <c r="AR1273" s="94"/>
      <c r="AS1273" s="207"/>
    </row>
    <row r="1274" spans="13:45" ht="12.75">
      <c r="M1274" s="104"/>
      <c r="O1274" s="206"/>
      <c r="P1274" s="94"/>
      <c r="Q1274" s="180"/>
      <c r="R1274" s="258"/>
      <c r="S1274" s="259"/>
      <c r="T1274" s="213"/>
      <c r="U1274" s="213"/>
      <c r="V1274" s="213"/>
      <c r="W1274" s="213"/>
      <c r="X1274" s="213"/>
      <c r="Y1274" s="213"/>
      <c r="Z1274" s="213"/>
      <c r="AA1274" s="213"/>
      <c r="AB1274" s="213"/>
      <c r="AC1274" s="207"/>
      <c r="AD1274"/>
      <c r="AE1274" s="206"/>
      <c r="AF1274" s="94"/>
      <c r="AG1274" s="94"/>
      <c r="AH1274" s="94"/>
      <c r="AI1274" s="94"/>
      <c r="AJ1274" s="94"/>
      <c r="AK1274" s="94"/>
      <c r="AL1274" s="94"/>
      <c r="AM1274" s="254"/>
      <c r="AN1274" s="254"/>
      <c r="AO1274" s="94"/>
      <c r="AP1274" s="94"/>
      <c r="AQ1274" s="94"/>
      <c r="AR1274" s="94"/>
      <c r="AS1274" s="207"/>
    </row>
    <row r="1275" spans="13:45" ht="12.75">
      <c r="M1275" s="104"/>
      <c r="O1275" s="206"/>
      <c r="P1275" s="94"/>
      <c r="Q1275" s="180"/>
      <c r="R1275" s="258"/>
      <c r="S1275" s="259"/>
      <c r="T1275" s="213"/>
      <c r="U1275" s="213"/>
      <c r="V1275" s="213"/>
      <c r="W1275" s="213"/>
      <c r="X1275" s="213"/>
      <c r="Y1275" s="213"/>
      <c r="Z1275" s="213"/>
      <c r="AA1275" s="213"/>
      <c r="AB1275" s="213"/>
      <c r="AC1275" s="207"/>
      <c r="AD1275"/>
      <c r="AE1275" s="206"/>
      <c r="AF1275" s="94"/>
      <c r="AG1275" s="94"/>
      <c r="AH1275" s="94"/>
      <c r="AI1275" s="94"/>
      <c r="AJ1275" s="94"/>
      <c r="AK1275" s="94"/>
      <c r="AL1275" s="94"/>
      <c r="AM1275" s="254"/>
      <c r="AN1275" s="254"/>
      <c r="AO1275" s="94"/>
      <c r="AP1275" s="94"/>
      <c r="AQ1275" s="94"/>
      <c r="AR1275" s="94"/>
      <c r="AS1275" s="207"/>
    </row>
    <row r="1276" spans="13:45" ht="12.75">
      <c r="M1276" s="104"/>
      <c r="O1276" s="206"/>
      <c r="P1276" s="94"/>
      <c r="Q1276" s="180"/>
      <c r="R1276" s="258"/>
      <c r="S1276" s="259"/>
      <c r="T1276" s="213"/>
      <c r="U1276" s="213"/>
      <c r="V1276" s="213"/>
      <c r="W1276" s="213"/>
      <c r="X1276" s="213"/>
      <c r="Y1276" s="213"/>
      <c r="Z1276" s="213"/>
      <c r="AA1276" s="213"/>
      <c r="AB1276" s="213"/>
      <c r="AC1276" s="207"/>
      <c r="AD1276"/>
      <c r="AE1276" s="206"/>
      <c r="AF1276" s="94"/>
      <c r="AG1276" s="94"/>
      <c r="AH1276" s="94"/>
      <c r="AI1276" s="94"/>
      <c r="AJ1276" s="94"/>
      <c r="AK1276" s="94"/>
      <c r="AL1276" s="94"/>
      <c r="AM1276" s="254"/>
      <c r="AN1276" s="254"/>
      <c r="AO1276" s="94"/>
      <c r="AP1276" s="94"/>
      <c r="AQ1276" s="94"/>
      <c r="AR1276" s="94"/>
      <c r="AS1276" s="207"/>
    </row>
    <row r="1277" spans="13:45" ht="12.75">
      <c r="M1277" s="104"/>
      <c r="O1277" s="206"/>
      <c r="P1277" s="94"/>
      <c r="Q1277" s="180"/>
      <c r="R1277" s="258"/>
      <c r="S1277" s="259"/>
      <c r="T1277" s="213"/>
      <c r="U1277" s="213"/>
      <c r="V1277" s="213"/>
      <c r="W1277" s="213"/>
      <c r="X1277" s="213"/>
      <c r="Y1277" s="213"/>
      <c r="Z1277" s="213"/>
      <c r="AA1277" s="213"/>
      <c r="AB1277" s="213"/>
      <c r="AC1277" s="207"/>
      <c r="AD1277"/>
      <c r="AE1277" s="206"/>
      <c r="AF1277" s="94"/>
      <c r="AG1277" s="94"/>
      <c r="AH1277" s="94"/>
      <c r="AI1277" s="94"/>
      <c r="AJ1277" s="94"/>
      <c r="AK1277" s="94"/>
      <c r="AL1277" s="94"/>
      <c r="AM1277" s="254"/>
      <c r="AN1277" s="254"/>
      <c r="AO1277" s="94"/>
      <c r="AP1277" s="94"/>
      <c r="AQ1277" s="94"/>
      <c r="AR1277" s="94"/>
      <c r="AS1277" s="207"/>
    </row>
    <row r="1278" spans="13:45" ht="12.75">
      <c r="M1278" s="104"/>
      <c r="O1278" s="206"/>
      <c r="P1278" s="94"/>
      <c r="Q1278" s="180"/>
      <c r="R1278" s="258"/>
      <c r="S1278" s="259"/>
      <c r="T1278" s="213"/>
      <c r="U1278" s="213"/>
      <c r="V1278" s="213"/>
      <c r="W1278" s="213"/>
      <c r="X1278" s="213"/>
      <c r="Y1278" s="213"/>
      <c r="Z1278" s="213"/>
      <c r="AA1278" s="213"/>
      <c r="AB1278" s="213"/>
      <c r="AC1278" s="207"/>
      <c r="AD1278"/>
      <c r="AE1278" s="206"/>
      <c r="AF1278" s="94"/>
      <c r="AG1278" s="94"/>
      <c r="AH1278" s="94"/>
      <c r="AI1278" s="94"/>
      <c r="AJ1278" s="94"/>
      <c r="AK1278" s="94"/>
      <c r="AL1278" s="94"/>
      <c r="AM1278" s="254"/>
      <c r="AN1278" s="254"/>
      <c r="AO1278" s="94"/>
      <c r="AP1278" s="94"/>
      <c r="AQ1278" s="94"/>
      <c r="AR1278" s="94"/>
      <c r="AS1278" s="207"/>
    </row>
    <row r="1279" spans="13:45" ht="12.75">
      <c r="M1279" s="104"/>
      <c r="O1279" s="206"/>
      <c r="P1279" s="94"/>
      <c r="Q1279" s="180"/>
      <c r="R1279" s="258"/>
      <c r="S1279" s="259"/>
      <c r="T1279" s="213"/>
      <c r="U1279" s="213"/>
      <c r="V1279" s="213"/>
      <c r="W1279" s="213"/>
      <c r="X1279" s="213"/>
      <c r="Y1279" s="213"/>
      <c r="Z1279" s="213"/>
      <c r="AA1279" s="213"/>
      <c r="AB1279" s="213"/>
      <c r="AC1279" s="207"/>
      <c r="AD1279"/>
      <c r="AE1279" s="206"/>
      <c r="AF1279" s="94"/>
      <c r="AG1279" s="94"/>
      <c r="AH1279" s="94"/>
      <c r="AI1279" s="94"/>
      <c r="AJ1279" s="94"/>
      <c r="AK1279" s="94"/>
      <c r="AL1279" s="94"/>
      <c r="AM1279" s="254"/>
      <c r="AN1279" s="254"/>
      <c r="AO1279" s="94"/>
      <c r="AP1279" s="94"/>
      <c r="AQ1279" s="94"/>
      <c r="AR1279" s="94"/>
      <c r="AS1279" s="207"/>
    </row>
    <row r="1280" spans="13:45" ht="12.75">
      <c r="M1280" s="104"/>
      <c r="O1280" s="206"/>
      <c r="P1280" s="94"/>
      <c r="Q1280" s="180"/>
      <c r="R1280" s="258"/>
      <c r="S1280" s="259"/>
      <c r="T1280" s="213"/>
      <c r="U1280" s="213"/>
      <c r="V1280" s="213"/>
      <c r="W1280" s="213"/>
      <c r="X1280" s="213"/>
      <c r="Y1280" s="213"/>
      <c r="Z1280" s="213"/>
      <c r="AA1280" s="213"/>
      <c r="AB1280" s="213"/>
      <c r="AC1280" s="207"/>
      <c r="AD1280"/>
      <c r="AE1280" s="206"/>
      <c r="AF1280" s="94"/>
      <c r="AG1280" s="94"/>
      <c r="AH1280" s="94"/>
      <c r="AI1280" s="94"/>
      <c r="AJ1280" s="94"/>
      <c r="AK1280" s="94"/>
      <c r="AL1280" s="94"/>
      <c r="AM1280" s="254"/>
      <c r="AN1280" s="254"/>
      <c r="AO1280" s="94"/>
      <c r="AP1280" s="94"/>
      <c r="AQ1280" s="94"/>
      <c r="AR1280" s="94"/>
      <c r="AS1280" s="207"/>
    </row>
    <row r="1281" spans="13:45" ht="12.75">
      <c r="M1281" s="104"/>
      <c r="O1281" s="206"/>
      <c r="P1281" s="94"/>
      <c r="Q1281" s="180"/>
      <c r="R1281" s="258"/>
      <c r="S1281" s="259"/>
      <c r="T1281" s="213"/>
      <c r="U1281" s="213"/>
      <c r="V1281" s="213"/>
      <c r="W1281" s="213"/>
      <c r="X1281" s="213"/>
      <c r="Y1281" s="213"/>
      <c r="Z1281" s="213"/>
      <c r="AA1281" s="213"/>
      <c r="AB1281" s="213"/>
      <c r="AC1281" s="207"/>
      <c r="AD1281"/>
      <c r="AE1281" s="206"/>
      <c r="AF1281" s="94"/>
      <c r="AG1281" s="94"/>
      <c r="AH1281" s="94"/>
      <c r="AI1281" s="94"/>
      <c r="AJ1281" s="94"/>
      <c r="AK1281" s="94"/>
      <c r="AL1281" s="94"/>
      <c r="AM1281" s="254"/>
      <c r="AN1281" s="254"/>
      <c r="AO1281" s="94"/>
      <c r="AP1281" s="94"/>
      <c r="AQ1281" s="94"/>
      <c r="AR1281" s="94"/>
      <c r="AS1281" s="207"/>
    </row>
    <row r="1282" spans="13:45" ht="12.75">
      <c r="M1282" s="104"/>
      <c r="O1282" s="206"/>
      <c r="P1282" s="94"/>
      <c r="Q1282" s="180"/>
      <c r="R1282" s="258"/>
      <c r="S1282" s="259"/>
      <c r="T1282" s="213"/>
      <c r="U1282" s="213"/>
      <c r="V1282" s="213"/>
      <c r="W1282" s="213"/>
      <c r="X1282" s="213"/>
      <c r="Y1282" s="213"/>
      <c r="Z1282" s="213"/>
      <c r="AA1282" s="213"/>
      <c r="AB1282" s="213"/>
      <c r="AC1282" s="207"/>
      <c r="AD1282"/>
      <c r="AE1282" s="206"/>
      <c r="AF1282" s="94"/>
      <c r="AG1282" s="94"/>
      <c r="AH1282" s="94"/>
      <c r="AI1282" s="94"/>
      <c r="AJ1282" s="94"/>
      <c r="AK1282" s="94"/>
      <c r="AL1282" s="94"/>
      <c r="AM1282" s="254"/>
      <c r="AN1282" s="254"/>
      <c r="AO1282" s="94"/>
      <c r="AP1282" s="94"/>
      <c r="AQ1282" s="94"/>
      <c r="AR1282" s="94"/>
      <c r="AS1282" s="207"/>
    </row>
    <row r="1283" spans="13:45" ht="12.75">
      <c r="M1283" s="104"/>
      <c r="O1283" s="206"/>
      <c r="P1283" s="94"/>
      <c r="Q1283" s="180"/>
      <c r="R1283" s="258"/>
      <c r="S1283" s="259"/>
      <c r="T1283" s="213"/>
      <c r="U1283" s="213"/>
      <c r="V1283" s="213"/>
      <c r="W1283" s="213"/>
      <c r="X1283" s="213"/>
      <c r="Y1283" s="213"/>
      <c r="Z1283" s="213"/>
      <c r="AA1283" s="213"/>
      <c r="AB1283" s="213"/>
      <c r="AC1283" s="207"/>
      <c r="AD1283"/>
      <c r="AE1283" s="206"/>
      <c r="AF1283" s="94"/>
      <c r="AG1283" s="94"/>
      <c r="AH1283" s="94"/>
      <c r="AI1283" s="94"/>
      <c r="AJ1283" s="94"/>
      <c r="AK1283" s="94"/>
      <c r="AL1283" s="94"/>
      <c r="AM1283" s="254"/>
      <c r="AN1283" s="254"/>
      <c r="AO1283" s="94"/>
      <c r="AP1283" s="94"/>
      <c r="AQ1283" s="94"/>
      <c r="AR1283" s="94"/>
      <c r="AS1283" s="207"/>
    </row>
    <row r="1284" spans="13:45" ht="12.75">
      <c r="M1284" s="104"/>
      <c r="O1284" s="206"/>
      <c r="P1284" s="94"/>
      <c r="Q1284" s="180"/>
      <c r="R1284" s="258"/>
      <c r="S1284" s="259"/>
      <c r="T1284" s="213"/>
      <c r="U1284" s="213"/>
      <c r="V1284" s="213"/>
      <c r="W1284" s="213"/>
      <c r="X1284" s="213"/>
      <c r="Y1284" s="213"/>
      <c r="Z1284" s="213"/>
      <c r="AA1284" s="213"/>
      <c r="AB1284" s="213"/>
      <c r="AC1284" s="207"/>
      <c r="AD1284"/>
      <c r="AE1284" s="206"/>
      <c r="AF1284" s="94"/>
      <c r="AG1284" s="94"/>
      <c r="AH1284" s="94"/>
      <c r="AI1284" s="94"/>
      <c r="AJ1284" s="94"/>
      <c r="AK1284" s="94"/>
      <c r="AL1284" s="94"/>
      <c r="AM1284" s="254"/>
      <c r="AN1284" s="254"/>
      <c r="AO1284" s="94"/>
      <c r="AP1284" s="94"/>
      <c r="AQ1284" s="94"/>
      <c r="AR1284" s="94"/>
      <c r="AS1284" s="207"/>
    </row>
    <row r="1285" spans="13:45" ht="12.75">
      <c r="M1285" s="104"/>
      <c r="O1285" s="206"/>
      <c r="P1285" s="94"/>
      <c r="Q1285" s="180"/>
      <c r="R1285" s="258"/>
      <c r="S1285" s="259"/>
      <c r="T1285" s="213"/>
      <c r="U1285" s="213"/>
      <c r="V1285" s="213"/>
      <c r="W1285" s="213"/>
      <c r="X1285" s="213"/>
      <c r="Y1285" s="213"/>
      <c r="Z1285" s="213"/>
      <c r="AA1285" s="213"/>
      <c r="AB1285" s="213"/>
      <c r="AC1285" s="207"/>
      <c r="AD1285"/>
      <c r="AE1285" s="206"/>
      <c r="AF1285" s="94"/>
      <c r="AG1285" s="94"/>
      <c r="AH1285" s="94"/>
      <c r="AI1285" s="94"/>
      <c r="AJ1285" s="94"/>
      <c r="AK1285" s="94"/>
      <c r="AL1285" s="94"/>
      <c r="AM1285" s="254"/>
      <c r="AN1285" s="254"/>
      <c r="AO1285" s="94"/>
      <c r="AP1285" s="94"/>
      <c r="AQ1285" s="94"/>
      <c r="AR1285" s="94"/>
      <c r="AS1285" s="207"/>
    </row>
    <row r="1286" spans="13:45" ht="12.75">
      <c r="M1286" s="104"/>
      <c r="O1286" s="206"/>
      <c r="P1286" s="94"/>
      <c r="Q1286" s="180"/>
      <c r="R1286" s="258"/>
      <c r="S1286" s="259"/>
      <c r="T1286" s="213"/>
      <c r="U1286" s="213"/>
      <c r="V1286" s="213"/>
      <c r="W1286" s="213"/>
      <c r="X1286" s="213"/>
      <c r="Y1286" s="213"/>
      <c r="Z1286" s="213"/>
      <c r="AA1286" s="213"/>
      <c r="AB1286" s="213"/>
      <c r="AC1286" s="207"/>
      <c r="AD1286"/>
      <c r="AE1286" s="206"/>
      <c r="AF1286" s="94"/>
      <c r="AG1286" s="94"/>
      <c r="AH1286" s="94"/>
      <c r="AI1286" s="94"/>
      <c r="AJ1286" s="94"/>
      <c r="AK1286" s="94"/>
      <c r="AL1286" s="94"/>
      <c r="AM1286" s="254"/>
      <c r="AN1286" s="254"/>
      <c r="AO1286" s="94"/>
      <c r="AP1286" s="94"/>
      <c r="AQ1286" s="94"/>
      <c r="AR1286" s="94"/>
      <c r="AS1286" s="207"/>
    </row>
    <row r="1287" spans="13:45" ht="12.75">
      <c r="M1287" s="104"/>
      <c r="O1287" s="206"/>
      <c r="P1287" s="94"/>
      <c r="Q1287" s="180"/>
      <c r="R1287" s="258"/>
      <c r="S1287" s="259"/>
      <c r="T1287" s="213"/>
      <c r="U1287" s="213"/>
      <c r="V1287" s="213"/>
      <c r="W1287" s="213"/>
      <c r="X1287" s="213"/>
      <c r="Y1287" s="213"/>
      <c r="Z1287" s="213"/>
      <c r="AA1287" s="213"/>
      <c r="AB1287" s="213"/>
      <c r="AC1287" s="207"/>
      <c r="AD1287"/>
      <c r="AE1287" s="206"/>
      <c r="AF1287" s="94"/>
      <c r="AG1287" s="94"/>
      <c r="AH1287" s="94"/>
      <c r="AI1287" s="94"/>
      <c r="AJ1287" s="94"/>
      <c r="AK1287" s="94"/>
      <c r="AL1287" s="94"/>
      <c r="AM1287" s="254"/>
      <c r="AN1287" s="254"/>
      <c r="AO1287" s="94"/>
      <c r="AP1287" s="94"/>
      <c r="AQ1287" s="94"/>
      <c r="AR1287" s="94"/>
      <c r="AS1287" s="207"/>
    </row>
    <row r="1288" spans="13:45" ht="12.75">
      <c r="M1288" s="104"/>
      <c r="O1288" s="206"/>
      <c r="P1288" s="94"/>
      <c r="Q1288" s="180"/>
      <c r="R1288" s="258"/>
      <c r="S1288" s="259"/>
      <c r="T1288" s="213"/>
      <c r="U1288" s="213"/>
      <c r="V1288" s="213"/>
      <c r="W1288" s="213"/>
      <c r="X1288" s="213"/>
      <c r="Y1288" s="213"/>
      <c r="Z1288" s="213"/>
      <c r="AA1288" s="213"/>
      <c r="AB1288" s="213"/>
      <c r="AC1288" s="207"/>
      <c r="AD1288"/>
      <c r="AE1288" s="206"/>
      <c r="AF1288" s="94"/>
      <c r="AG1288" s="94"/>
      <c r="AH1288" s="94"/>
      <c r="AI1288" s="94"/>
      <c r="AJ1288" s="94"/>
      <c r="AK1288" s="94"/>
      <c r="AL1288" s="94"/>
      <c r="AM1288" s="254"/>
      <c r="AN1288" s="254"/>
      <c r="AO1288" s="94"/>
      <c r="AP1288" s="94"/>
      <c r="AQ1288" s="94"/>
      <c r="AR1288" s="94"/>
      <c r="AS1288" s="207"/>
    </row>
    <row r="1289" spans="13:45" ht="12.75">
      <c r="M1289" s="104"/>
      <c r="O1289" s="206"/>
      <c r="P1289" s="94"/>
      <c r="Q1289" s="180"/>
      <c r="R1289" s="258"/>
      <c r="S1289" s="259"/>
      <c r="T1289" s="213"/>
      <c r="U1289" s="213"/>
      <c r="V1289" s="213"/>
      <c r="W1289" s="213"/>
      <c r="X1289" s="213"/>
      <c r="Y1289" s="213"/>
      <c r="Z1289" s="213"/>
      <c r="AA1289" s="213"/>
      <c r="AB1289" s="213"/>
      <c r="AC1289" s="207"/>
      <c r="AD1289"/>
      <c r="AE1289" s="206"/>
      <c r="AF1289" s="94"/>
      <c r="AG1289" s="94"/>
      <c r="AH1289" s="94"/>
      <c r="AI1289" s="94"/>
      <c r="AJ1289" s="94"/>
      <c r="AK1289" s="94"/>
      <c r="AL1289" s="94"/>
      <c r="AM1289" s="254"/>
      <c r="AN1289" s="254"/>
      <c r="AO1289" s="94"/>
      <c r="AP1289" s="94"/>
      <c r="AQ1289" s="94"/>
      <c r="AR1289" s="94"/>
      <c r="AS1289" s="207"/>
    </row>
    <row r="1290" spans="13:45" ht="12.75">
      <c r="M1290" s="104"/>
      <c r="O1290" s="206"/>
      <c r="P1290" s="94"/>
      <c r="Q1290" s="180"/>
      <c r="R1290" s="258"/>
      <c r="S1290" s="259"/>
      <c r="T1290" s="213"/>
      <c r="U1290" s="213"/>
      <c r="V1290" s="213"/>
      <c r="W1290" s="213"/>
      <c r="X1290" s="213"/>
      <c r="Y1290" s="213"/>
      <c r="Z1290" s="213"/>
      <c r="AA1290" s="213"/>
      <c r="AB1290" s="213"/>
      <c r="AC1290" s="207"/>
      <c r="AD1290"/>
      <c r="AE1290" s="206"/>
      <c r="AF1290" s="94"/>
      <c r="AG1290" s="94"/>
      <c r="AH1290" s="94"/>
      <c r="AI1290" s="94"/>
      <c r="AJ1290" s="94"/>
      <c r="AK1290" s="94"/>
      <c r="AL1290" s="94"/>
      <c r="AM1290" s="254"/>
      <c r="AN1290" s="254"/>
      <c r="AO1290" s="94"/>
      <c r="AP1290" s="94"/>
      <c r="AQ1290" s="94"/>
      <c r="AR1290" s="94"/>
      <c r="AS1290" s="207"/>
    </row>
    <row r="1291" spans="13:45" ht="12.75">
      <c r="M1291" s="104"/>
      <c r="O1291" s="206"/>
      <c r="P1291" s="94"/>
      <c r="Q1291" s="180"/>
      <c r="R1291" s="258"/>
      <c r="S1291" s="259"/>
      <c r="T1291" s="213"/>
      <c r="U1291" s="213"/>
      <c r="V1291" s="213"/>
      <c r="W1291" s="213"/>
      <c r="X1291" s="213"/>
      <c r="Y1291" s="213"/>
      <c r="Z1291" s="213"/>
      <c r="AA1291" s="213"/>
      <c r="AB1291" s="213"/>
      <c r="AC1291" s="207"/>
      <c r="AD1291"/>
      <c r="AE1291" s="206"/>
      <c r="AF1291" s="94"/>
      <c r="AG1291" s="94"/>
      <c r="AH1291" s="94"/>
      <c r="AI1291" s="94"/>
      <c r="AJ1291" s="94"/>
      <c r="AK1291" s="94"/>
      <c r="AL1291" s="94"/>
      <c r="AM1291" s="254"/>
      <c r="AN1291" s="254"/>
      <c r="AO1291" s="94"/>
      <c r="AP1291" s="94"/>
      <c r="AQ1291" s="94"/>
      <c r="AR1291" s="94"/>
      <c r="AS1291" s="207"/>
    </row>
    <row r="1292" spans="13:45" ht="12.75">
      <c r="M1292" s="104"/>
      <c r="O1292" s="206"/>
      <c r="P1292" s="94"/>
      <c r="Q1292" s="180"/>
      <c r="R1292" s="258"/>
      <c r="S1292" s="259"/>
      <c r="T1292" s="213"/>
      <c r="U1292" s="213"/>
      <c r="V1292" s="213"/>
      <c r="W1292" s="213"/>
      <c r="X1292" s="213"/>
      <c r="Y1292" s="213"/>
      <c r="Z1292" s="213"/>
      <c r="AA1292" s="213"/>
      <c r="AB1292" s="213"/>
      <c r="AC1292" s="207"/>
      <c r="AD1292"/>
      <c r="AE1292" s="206"/>
      <c r="AF1292" s="94"/>
      <c r="AG1292" s="94"/>
      <c r="AH1292" s="94"/>
      <c r="AI1292" s="94"/>
      <c r="AJ1292" s="94"/>
      <c r="AK1292" s="94"/>
      <c r="AL1292" s="94"/>
      <c r="AM1292" s="254"/>
      <c r="AN1292" s="254"/>
      <c r="AO1292" s="94"/>
      <c r="AP1292" s="94"/>
      <c r="AQ1292" s="94"/>
      <c r="AR1292" s="94"/>
      <c r="AS1292" s="207"/>
    </row>
    <row r="1293" spans="13:45" ht="12.75">
      <c r="M1293" s="104"/>
      <c r="O1293" s="206"/>
      <c r="P1293" s="94"/>
      <c r="Q1293" s="180"/>
      <c r="R1293" s="258"/>
      <c r="S1293" s="259"/>
      <c r="T1293" s="213"/>
      <c r="U1293" s="213"/>
      <c r="V1293" s="213"/>
      <c r="W1293" s="213"/>
      <c r="X1293" s="213"/>
      <c r="Y1293" s="213"/>
      <c r="Z1293" s="213"/>
      <c r="AA1293" s="213"/>
      <c r="AB1293" s="213"/>
      <c r="AC1293" s="207"/>
      <c r="AD1293"/>
      <c r="AE1293" s="206"/>
      <c r="AF1293" s="94"/>
      <c r="AG1293" s="94"/>
      <c r="AH1293" s="94"/>
      <c r="AI1293" s="94"/>
      <c r="AJ1293" s="94"/>
      <c r="AK1293" s="94"/>
      <c r="AL1293" s="94"/>
      <c r="AM1293" s="254"/>
      <c r="AN1293" s="254"/>
      <c r="AO1293" s="94"/>
      <c r="AP1293" s="94"/>
      <c r="AQ1293" s="94"/>
      <c r="AR1293" s="94"/>
      <c r="AS1293" s="207"/>
    </row>
    <row r="1294" spans="13:45" ht="12.75">
      <c r="M1294" s="104"/>
      <c r="O1294" s="206"/>
      <c r="P1294" s="94"/>
      <c r="Q1294" s="180"/>
      <c r="R1294" s="258"/>
      <c r="S1294" s="259"/>
      <c r="T1294" s="213"/>
      <c r="U1294" s="213"/>
      <c r="V1294" s="213"/>
      <c r="W1294" s="213"/>
      <c r="X1294" s="213"/>
      <c r="Y1294" s="213"/>
      <c r="Z1294" s="213"/>
      <c r="AA1294" s="213"/>
      <c r="AB1294" s="213"/>
      <c r="AC1294" s="207"/>
      <c r="AD1294"/>
      <c r="AE1294" s="206"/>
      <c r="AF1294" s="94"/>
      <c r="AG1294" s="94"/>
      <c r="AH1294" s="94"/>
      <c r="AI1294" s="94"/>
      <c r="AJ1294" s="94"/>
      <c r="AK1294" s="94"/>
      <c r="AL1294" s="94"/>
      <c r="AM1294" s="254"/>
      <c r="AN1294" s="254"/>
      <c r="AO1294" s="94"/>
      <c r="AP1294" s="94"/>
      <c r="AQ1294" s="94"/>
      <c r="AR1294" s="94"/>
      <c r="AS1294" s="207"/>
    </row>
    <row r="1295" spans="13:45" ht="12.75">
      <c r="M1295" s="104"/>
      <c r="O1295" s="206"/>
      <c r="P1295" s="94"/>
      <c r="Q1295" s="180"/>
      <c r="R1295" s="258"/>
      <c r="S1295" s="259"/>
      <c r="T1295" s="213"/>
      <c r="U1295" s="213"/>
      <c r="V1295" s="213"/>
      <c r="W1295" s="213"/>
      <c r="X1295" s="213"/>
      <c r="Y1295" s="213"/>
      <c r="Z1295" s="213"/>
      <c r="AA1295" s="213"/>
      <c r="AB1295" s="213"/>
      <c r="AC1295" s="207"/>
      <c r="AD1295"/>
      <c r="AE1295" s="206"/>
      <c r="AF1295" s="94"/>
      <c r="AG1295" s="94"/>
      <c r="AH1295" s="94"/>
      <c r="AI1295" s="94"/>
      <c r="AJ1295" s="94"/>
      <c r="AK1295" s="94"/>
      <c r="AL1295" s="94"/>
      <c r="AM1295" s="254"/>
      <c r="AN1295" s="254"/>
      <c r="AO1295" s="94"/>
      <c r="AP1295" s="94"/>
      <c r="AQ1295" s="94"/>
      <c r="AR1295" s="94"/>
      <c r="AS1295" s="207"/>
    </row>
    <row r="1296" spans="13:45" ht="12.75">
      <c r="M1296" s="104"/>
      <c r="O1296" s="206"/>
      <c r="P1296" s="94"/>
      <c r="Q1296" s="180"/>
      <c r="R1296" s="258"/>
      <c r="S1296" s="259"/>
      <c r="T1296" s="213"/>
      <c r="U1296" s="213"/>
      <c r="V1296" s="213"/>
      <c r="W1296" s="213"/>
      <c r="X1296" s="213"/>
      <c r="Y1296" s="213"/>
      <c r="Z1296" s="213"/>
      <c r="AA1296" s="213"/>
      <c r="AB1296" s="213"/>
      <c r="AC1296" s="207"/>
      <c r="AD1296"/>
      <c r="AE1296" s="206"/>
      <c r="AF1296" s="94"/>
      <c r="AG1296" s="94"/>
      <c r="AH1296" s="94"/>
      <c r="AI1296" s="94"/>
      <c r="AJ1296" s="94"/>
      <c r="AK1296" s="94"/>
      <c r="AL1296" s="94"/>
      <c r="AM1296" s="254"/>
      <c r="AN1296" s="254"/>
      <c r="AO1296" s="94"/>
      <c r="AP1296" s="94"/>
      <c r="AQ1296" s="94"/>
      <c r="AR1296" s="94"/>
      <c r="AS1296" s="207"/>
    </row>
    <row r="1297" spans="13:45" ht="12.75">
      <c r="M1297" s="104"/>
      <c r="O1297" s="206"/>
      <c r="P1297" s="94"/>
      <c r="Q1297" s="180"/>
      <c r="R1297" s="258"/>
      <c r="S1297" s="259"/>
      <c r="T1297" s="213"/>
      <c r="U1297" s="213"/>
      <c r="V1297" s="213"/>
      <c r="W1297" s="213"/>
      <c r="X1297" s="213"/>
      <c r="Y1297" s="213"/>
      <c r="Z1297" s="213"/>
      <c r="AA1297" s="213"/>
      <c r="AB1297" s="213"/>
      <c r="AC1297" s="207"/>
      <c r="AD1297"/>
      <c r="AE1297" s="206"/>
      <c r="AF1297" s="94"/>
      <c r="AG1297" s="94"/>
      <c r="AH1297" s="94"/>
      <c r="AI1297" s="94"/>
      <c r="AJ1297" s="94"/>
      <c r="AK1297" s="94"/>
      <c r="AL1297" s="94"/>
      <c r="AM1297" s="254"/>
      <c r="AN1297" s="254"/>
      <c r="AO1297" s="94"/>
      <c r="AP1297" s="94"/>
      <c r="AQ1297" s="94"/>
      <c r="AR1297" s="94"/>
      <c r="AS1297" s="207"/>
    </row>
    <row r="1298" spans="13:45" ht="12.75">
      <c r="M1298" s="104"/>
      <c r="O1298" s="206"/>
      <c r="P1298" s="94"/>
      <c r="Q1298" s="180"/>
      <c r="R1298" s="258"/>
      <c r="S1298" s="259"/>
      <c r="T1298" s="213"/>
      <c r="U1298" s="213"/>
      <c r="V1298" s="213"/>
      <c r="W1298" s="213"/>
      <c r="X1298" s="213"/>
      <c r="Y1298" s="213"/>
      <c r="Z1298" s="213"/>
      <c r="AA1298" s="213"/>
      <c r="AB1298" s="213"/>
      <c r="AC1298" s="207"/>
      <c r="AD1298"/>
      <c r="AE1298" s="206"/>
      <c r="AF1298" s="94"/>
      <c r="AG1298" s="94"/>
      <c r="AH1298" s="94"/>
      <c r="AI1298" s="94"/>
      <c r="AJ1298" s="94"/>
      <c r="AK1298" s="94"/>
      <c r="AL1298" s="94"/>
      <c r="AM1298" s="254"/>
      <c r="AN1298" s="254"/>
      <c r="AO1298" s="94"/>
      <c r="AP1298" s="94"/>
      <c r="AQ1298" s="94"/>
      <c r="AR1298" s="94"/>
      <c r="AS1298" s="207"/>
    </row>
    <row r="1299" spans="13:45" ht="12.75">
      <c r="M1299" s="104"/>
      <c r="O1299" s="206"/>
      <c r="P1299" s="94"/>
      <c r="Q1299" s="180"/>
      <c r="R1299" s="258"/>
      <c r="S1299" s="259"/>
      <c r="T1299" s="213"/>
      <c r="U1299" s="213"/>
      <c r="V1299" s="213"/>
      <c r="W1299" s="213"/>
      <c r="X1299" s="213"/>
      <c r="Y1299" s="213"/>
      <c r="Z1299" s="213"/>
      <c r="AA1299" s="213"/>
      <c r="AB1299" s="213"/>
      <c r="AC1299" s="207"/>
      <c r="AD1299"/>
      <c r="AE1299" s="206"/>
      <c r="AF1299" s="94"/>
      <c r="AG1299" s="94"/>
      <c r="AH1299" s="94"/>
      <c r="AI1299" s="94"/>
      <c r="AJ1299" s="94"/>
      <c r="AK1299" s="94"/>
      <c r="AL1299" s="94"/>
      <c r="AM1299" s="254"/>
      <c r="AN1299" s="254"/>
      <c r="AO1299" s="94"/>
      <c r="AP1299" s="94"/>
      <c r="AQ1299" s="94"/>
      <c r="AR1299" s="94"/>
      <c r="AS1299" s="207"/>
    </row>
    <row r="1300" spans="13:45" ht="12.75">
      <c r="M1300" s="104"/>
      <c r="O1300" s="206"/>
      <c r="P1300" s="94"/>
      <c r="Q1300" s="180"/>
      <c r="R1300" s="258"/>
      <c r="S1300" s="259"/>
      <c r="T1300" s="213"/>
      <c r="U1300" s="213"/>
      <c r="V1300" s="213"/>
      <c r="W1300" s="213"/>
      <c r="X1300" s="213"/>
      <c r="Y1300" s="213"/>
      <c r="Z1300" s="213"/>
      <c r="AA1300" s="213"/>
      <c r="AB1300" s="213"/>
      <c r="AC1300" s="207"/>
      <c r="AD1300"/>
      <c r="AE1300" s="206"/>
      <c r="AF1300" s="94"/>
      <c r="AG1300" s="94"/>
      <c r="AH1300" s="94"/>
      <c r="AI1300" s="94"/>
      <c r="AJ1300" s="94"/>
      <c r="AK1300" s="94"/>
      <c r="AL1300" s="94"/>
      <c r="AM1300" s="254"/>
      <c r="AN1300" s="254"/>
      <c r="AO1300" s="94"/>
      <c r="AP1300" s="94"/>
      <c r="AQ1300" s="94"/>
      <c r="AR1300" s="94"/>
      <c r="AS1300" s="207"/>
    </row>
    <row r="1301" spans="13:45" ht="12.75">
      <c r="M1301" s="104"/>
      <c r="O1301" s="206"/>
      <c r="P1301" s="94"/>
      <c r="Q1301" s="180"/>
      <c r="R1301" s="258"/>
      <c r="S1301" s="259"/>
      <c r="T1301" s="213"/>
      <c r="U1301" s="213"/>
      <c r="V1301" s="213"/>
      <c r="W1301" s="213"/>
      <c r="X1301" s="213"/>
      <c r="Y1301" s="213"/>
      <c r="Z1301" s="213"/>
      <c r="AA1301" s="213"/>
      <c r="AB1301" s="213"/>
      <c r="AC1301" s="207"/>
      <c r="AD1301"/>
      <c r="AE1301" s="206"/>
      <c r="AF1301" s="94"/>
      <c r="AG1301" s="94"/>
      <c r="AH1301" s="94"/>
      <c r="AI1301" s="94"/>
      <c r="AJ1301" s="94"/>
      <c r="AK1301" s="94"/>
      <c r="AL1301" s="94"/>
      <c r="AM1301" s="254"/>
      <c r="AN1301" s="254"/>
      <c r="AO1301" s="94"/>
      <c r="AP1301" s="94"/>
      <c r="AQ1301" s="94"/>
      <c r="AR1301" s="94"/>
      <c r="AS1301" s="207"/>
    </row>
    <row r="1302" spans="13:45" ht="12.75">
      <c r="M1302" s="104"/>
      <c r="O1302" s="206"/>
      <c r="P1302" s="94"/>
      <c r="Q1302" s="180"/>
      <c r="R1302" s="258"/>
      <c r="S1302" s="259"/>
      <c r="T1302" s="213"/>
      <c r="U1302" s="213"/>
      <c r="V1302" s="213"/>
      <c r="W1302" s="213"/>
      <c r="X1302" s="213"/>
      <c r="Y1302" s="213"/>
      <c r="Z1302" s="213"/>
      <c r="AA1302" s="213"/>
      <c r="AB1302" s="213"/>
      <c r="AC1302" s="207"/>
      <c r="AD1302"/>
      <c r="AE1302" s="206"/>
      <c r="AF1302" s="94"/>
      <c r="AG1302" s="94"/>
      <c r="AH1302" s="94"/>
      <c r="AI1302" s="94"/>
      <c r="AJ1302" s="94"/>
      <c r="AK1302" s="94"/>
      <c r="AL1302" s="94"/>
      <c r="AM1302" s="254"/>
      <c r="AN1302" s="254"/>
      <c r="AO1302" s="94"/>
      <c r="AP1302" s="94"/>
      <c r="AQ1302" s="94"/>
      <c r="AR1302" s="94"/>
      <c r="AS1302" s="207"/>
    </row>
    <row r="1303" spans="13:45" ht="12.75">
      <c r="M1303" s="104"/>
      <c r="O1303" s="206"/>
      <c r="P1303" s="94"/>
      <c r="Q1303" s="180"/>
      <c r="R1303" s="258"/>
      <c r="S1303" s="259"/>
      <c r="T1303" s="213"/>
      <c r="U1303" s="213"/>
      <c r="V1303" s="213"/>
      <c r="W1303" s="213"/>
      <c r="X1303" s="213"/>
      <c r="Y1303" s="213"/>
      <c r="Z1303" s="213"/>
      <c r="AA1303" s="213"/>
      <c r="AB1303" s="213"/>
      <c r="AC1303" s="207"/>
      <c r="AD1303"/>
      <c r="AE1303" s="206"/>
      <c r="AF1303" s="94"/>
      <c r="AG1303" s="94"/>
      <c r="AH1303" s="94"/>
      <c r="AI1303" s="94"/>
      <c r="AJ1303" s="94"/>
      <c r="AK1303" s="94"/>
      <c r="AL1303" s="94"/>
      <c r="AM1303" s="254"/>
      <c r="AN1303" s="254"/>
      <c r="AO1303" s="94"/>
      <c r="AP1303" s="94"/>
      <c r="AQ1303" s="94"/>
      <c r="AR1303" s="94"/>
      <c r="AS1303" s="207"/>
    </row>
    <row r="1304" spans="13:45" ht="12.75">
      <c r="M1304" s="104"/>
      <c r="O1304" s="206"/>
      <c r="P1304" s="94"/>
      <c r="Q1304" s="180"/>
      <c r="R1304" s="258"/>
      <c r="S1304" s="259"/>
      <c r="T1304" s="213"/>
      <c r="U1304" s="213"/>
      <c r="V1304" s="213"/>
      <c r="W1304" s="213"/>
      <c r="X1304" s="213"/>
      <c r="Y1304" s="213"/>
      <c r="Z1304" s="213"/>
      <c r="AA1304" s="213"/>
      <c r="AB1304" s="213"/>
      <c r="AC1304" s="207"/>
      <c r="AD1304"/>
      <c r="AE1304" s="206"/>
      <c r="AF1304" s="94"/>
      <c r="AG1304" s="94"/>
      <c r="AH1304" s="94"/>
      <c r="AI1304" s="94"/>
      <c r="AJ1304" s="94"/>
      <c r="AK1304" s="94"/>
      <c r="AL1304" s="94"/>
      <c r="AM1304" s="254"/>
      <c r="AN1304" s="254"/>
      <c r="AO1304" s="94"/>
      <c r="AP1304" s="94"/>
      <c r="AQ1304" s="94"/>
      <c r="AR1304" s="94"/>
      <c r="AS1304" s="207"/>
    </row>
    <row r="1305" spans="13:45" ht="12.75">
      <c r="M1305" s="104"/>
      <c r="O1305" s="206"/>
      <c r="P1305" s="94"/>
      <c r="Q1305" s="180"/>
      <c r="R1305" s="258"/>
      <c r="S1305" s="259"/>
      <c r="T1305" s="213"/>
      <c r="U1305" s="213"/>
      <c r="V1305" s="213"/>
      <c r="W1305" s="213"/>
      <c r="X1305" s="213"/>
      <c r="Y1305" s="213"/>
      <c r="Z1305" s="213"/>
      <c r="AA1305" s="213"/>
      <c r="AB1305" s="213"/>
      <c r="AC1305" s="207"/>
      <c r="AD1305"/>
      <c r="AE1305" s="206"/>
      <c r="AF1305" s="94"/>
      <c r="AG1305" s="94"/>
      <c r="AH1305" s="94"/>
      <c r="AI1305" s="94"/>
      <c r="AJ1305" s="94"/>
      <c r="AK1305" s="94"/>
      <c r="AL1305" s="94"/>
      <c r="AM1305" s="254"/>
      <c r="AN1305" s="254"/>
      <c r="AO1305" s="94"/>
      <c r="AP1305" s="94"/>
      <c r="AQ1305" s="94"/>
      <c r="AR1305" s="94"/>
      <c r="AS1305" s="207"/>
    </row>
    <row r="1306" spans="13:45" ht="12.75">
      <c r="M1306" s="104"/>
      <c r="O1306" s="206"/>
      <c r="P1306" s="94"/>
      <c r="Q1306" s="180"/>
      <c r="R1306" s="258"/>
      <c r="S1306" s="259"/>
      <c r="T1306" s="213"/>
      <c r="U1306" s="213"/>
      <c r="V1306" s="213"/>
      <c r="W1306" s="213"/>
      <c r="X1306" s="213"/>
      <c r="Y1306" s="213"/>
      <c r="Z1306" s="213"/>
      <c r="AA1306" s="213"/>
      <c r="AB1306" s="213"/>
      <c r="AC1306" s="207"/>
      <c r="AD1306"/>
      <c r="AE1306" s="206"/>
      <c r="AF1306" s="94"/>
      <c r="AG1306" s="94"/>
      <c r="AH1306" s="94"/>
      <c r="AI1306" s="94"/>
      <c r="AJ1306" s="94"/>
      <c r="AK1306" s="94"/>
      <c r="AL1306" s="94"/>
      <c r="AM1306" s="254"/>
      <c r="AN1306" s="254"/>
      <c r="AO1306" s="94"/>
      <c r="AP1306" s="94"/>
      <c r="AQ1306" s="94"/>
      <c r="AR1306" s="94"/>
      <c r="AS1306" s="207"/>
    </row>
    <row r="1307" spans="13:45" ht="12.75">
      <c r="M1307" s="104"/>
      <c r="O1307" s="206"/>
      <c r="P1307" s="94"/>
      <c r="Q1307" s="180"/>
      <c r="R1307" s="258"/>
      <c r="S1307" s="259"/>
      <c r="T1307" s="213"/>
      <c r="U1307" s="213"/>
      <c r="V1307" s="213"/>
      <c r="W1307" s="213"/>
      <c r="X1307" s="213"/>
      <c r="Y1307" s="213"/>
      <c r="Z1307" s="213"/>
      <c r="AA1307" s="213"/>
      <c r="AB1307" s="213"/>
      <c r="AC1307" s="207"/>
      <c r="AD1307"/>
      <c r="AE1307" s="206"/>
      <c r="AF1307" s="94"/>
      <c r="AG1307" s="94"/>
      <c r="AH1307" s="94"/>
      <c r="AI1307" s="94"/>
      <c r="AJ1307" s="94"/>
      <c r="AK1307" s="94"/>
      <c r="AL1307" s="94"/>
      <c r="AM1307" s="254"/>
      <c r="AN1307" s="254"/>
      <c r="AO1307" s="94"/>
      <c r="AP1307" s="94"/>
      <c r="AQ1307" s="94"/>
      <c r="AR1307" s="94"/>
      <c r="AS1307" s="207"/>
    </row>
    <row r="1308" spans="13:45" ht="12.75">
      <c r="M1308" s="104"/>
      <c r="O1308" s="206"/>
      <c r="P1308" s="94"/>
      <c r="Q1308" s="180"/>
      <c r="R1308" s="258"/>
      <c r="S1308" s="259"/>
      <c r="T1308" s="213"/>
      <c r="U1308" s="213"/>
      <c r="V1308" s="213"/>
      <c r="W1308" s="213"/>
      <c r="X1308" s="213"/>
      <c r="Y1308" s="213"/>
      <c r="Z1308" s="213"/>
      <c r="AA1308" s="213"/>
      <c r="AB1308" s="213"/>
      <c r="AC1308" s="207"/>
      <c r="AD1308"/>
      <c r="AE1308" s="206"/>
      <c r="AF1308" s="94"/>
      <c r="AG1308" s="94"/>
      <c r="AH1308" s="94"/>
      <c r="AI1308" s="94"/>
      <c r="AJ1308" s="94"/>
      <c r="AK1308" s="94"/>
      <c r="AL1308" s="94"/>
      <c r="AM1308" s="254"/>
      <c r="AN1308" s="254"/>
      <c r="AO1308" s="94"/>
      <c r="AP1308" s="94"/>
      <c r="AQ1308" s="94"/>
      <c r="AR1308" s="94"/>
      <c r="AS1308" s="207"/>
    </row>
    <row r="1309" spans="13:45" ht="12.75">
      <c r="M1309" s="104"/>
      <c r="O1309" s="206"/>
      <c r="P1309" s="94"/>
      <c r="Q1309" s="180"/>
      <c r="R1309" s="258"/>
      <c r="S1309" s="259"/>
      <c r="T1309" s="213"/>
      <c r="U1309" s="213"/>
      <c r="V1309" s="213"/>
      <c r="W1309" s="213"/>
      <c r="X1309" s="213"/>
      <c r="Y1309" s="213"/>
      <c r="Z1309" s="213"/>
      <c r="AA1309" s="213"/>
      <c r="AB1309" s="213"/>
      <c r="AC1309" s="207"/>
      <c r="AD1309"/>
      <c r="AE1309" s="206"/>
      <c r="AF1309" s="94"/>
      <c r="AG1309" s="94"/>
      <c r="AH1309" s="94"/>
      <c r="AI1309" s="94"/>
      <c r="AJ1309" s="94"/>
      <c r="AK1309" s="94"/>
      <c r="AL1309" s="94"/>
      <c r="AM1309" s="254"/>
      <c r="AN1309" s="254"/>
      <c r="AO1309" s="94"/>
      <c r="AP1309" s="94"/>
      <c r="AQ1309" s="94"/>
      <c r="AR1309" s="94"/>
      <c r="AS1309" s="207"/>
    </row>
    <row r="1310" spans="13:45" ht="12.75">
      <c r="M1310" s="104"/>
      <c r="O1310" s="206"/>
      <c r="P1310" s="94"/>
      <c r="Q1310" s="180"/>
      <c r="R1310" s="258"/>
      <c r="S1310" s="259"/>
      <c r="T1310" s="213"/>
      <c r="U1310" s="213"/>
      <c r="V1310" s="213"/>
      <c r="W1310" s="213"/>
      <c r="X1310" s="213"/>
      <c r="Y1310" s="213"/>
      <c r="Z1310" s="213"/>
      <c r="AA1310" s="213"/>
      <c r="AB1310" s="213"/>
      <c r="AC1310" s="207"/>
      <c r="AD1310"/>
      <c r="AE1310" s="206"/>
      <c r="AF1310" s="94"/>
      <c r="AG1310" s="94"/>
      <c r="AH1310" s="94"/>
      <c r="AI1310" s="94"/>
      <c r="AJ1310" s="94"/>
      <c r="AK1310" s="94"/>
      <c r="AL1310" s="94"/>
      <c r="AM1310" s="254"/>
      <c r="AN1310" s="254"/>
      <c r="AO1310" s="94"/>
      <c r="AP1310" s="94"/>
      <c r="AQ1310" s="94"/>
      <c r="AR1310" s="94"/>
      <c r="AS1310" s="207"/>
    </row>
    <row r="1311" spans="13:45" ht="12.75">
      <c r="M1311" s="104"/>
      <c r="O1311" s="206"/>
      <c r="P1311" s="94"/>
      <c r="Q1311" s="180"/>
      <c r="R1311" s="258"/>
      <c r="S1311" s="259"/>
      <c r="T1311" s="213"/>
      <c r="U1311" s="213"/>
      <c r="V1311" s="213"/>
      <c r="W1311" s="213"/>
      <c r="X1311" s="213"/>
      <c r="Y1311" s="213"/>
      <c r="Z1311" s="213"/>
      <c r="AA1311" s="213"/>
      <c r="AB1311" s="213"/>
      <c r="AC1311" s="207"/>
      <c r="AD1311"/>
      <c r="AE1311" s="206"/>
      <c r="AF1311" s="94"/>
      <c r="AG1311" s="94"/>
      <c r="AH1311" s="94"/>
      <c r="AI1311" s="94"/>
      <c r="AJ1311" s="94"/>
      <c r="AK1311" s="94"/>
      <c r="AL1311" s="94"/>
      <c r="AM1311" s="254"/>
      <c r="AN1311" s="254"/>
      <c r="AO1311" s="94"/>
      <c r="AP1311" s="94"/>
      <c r="AQ1311" s="94"/>
      <c r="AR1311" s="94"/>
      <c r="AS1311" s="207"/>
    </row>
    <row r="1312" spans="13:45" ht="12.75">
      <c r="M1312" s="104"/>
      <c r="O1312" s="206"/>
      <c r="P1312" s="94"/>
      <c r="Q1312" s="180"/>
      <c r="R1312" s="258"/>
      <c r="S1312" s="259"/>
      <c r="T1312" s="213"/>
      <c r="U1312" s="213"/>
      <c r="V1312" s="213"/>
      <c r="W1312" s="213"/>
      <c r="X1312" s="213"/>
      <c r="Y1312" s="213"/>
      <c r="Z1312" s="213"/>
      <c r="AA1312" s="213"/>
      <c r="AB1312" s="213"/>
      <c r="AC1312" s="207"/>
      <c r="AD1312"/>
      <c r="AE1312" s="206"/>
      <c r="AF1312" s="94"/>
      <c r="AG1312" s="94"/>
      <c r="AH1312" s="94"/>
      <c r="AI1312" s="94"/>
      <c r="AJ1312" s="94"/>
      <c r="AK1312" s="94"/>
      <c r="AL1312" s="94"/>
      <c r="AM1312" s="254"/>
      <c r="AN1312" s="254"/>
      <c r="AO1312" s="94"/>
      <c r="AP1312" s="94"/>
      <c r="AQ1312" s="94"/>
      <c r="AR1312" s="94"/>
      <c r="AS1312" s="207"/>
    </row>
    <row r="1313" spans="13:45" ht="12.75">
      <c r="M1313" s="104"/>
      <c r="O1313" s="206"/>
      <c r="P1313" s="94"/>
      <c r="Q1313" s="180"/>
      <c r="R1313" s="258"/>
      <c r="S1313" s="259"/>
      <c r="T1313" s="213"/>
      <c r="U1313" s="213"/>
      <c r="V1313" s="213"/>
      <c r="W1313" s="213"/>
      <c r="X1313" s="213"/>
      <c r="Y1313" s="213"/>
      <c r="Z1313" s="213"/>
      <c r="AA1313" s="213"/>
      <c r="AB1313" s="213"/>
      <c r="AC1313" s="207"/>
      <c r="AD1313"/>
      <c r="AE1313" s="206"/>
      <c r="AF1313" s="94"/>
      <c r="AG1313" s="94"/>
      <c r="AH1313" s="94"/>
      <c r="AI1313" s="94"/>
      <c r="AJ1313" s="94"/>
      <c r="AK1313" s="94"/>
      <c r="AL1313" s="94"/>
      <c r="AM1313" s="254"/>
      <c r="AN1313" s="254"/>
      <c r="AO1313" s="94"/>
      <c r="AP1313" s="94"/>
      <c r="AQ1313" s="94"/>
      <c r="AR1313" s="94"/>
      <c r="AS1313" s="207"/>
    </row>
    <row r="1314" spans="13:45" ht="12.75">
      <c r="M1314" s="104"/>
      <c r="O1314" s="206"/>
      <c r="P1314" s="94"/>
      <c r="Q1314" s="180"/>
      <c r="R1314" s="258"/>
      <c r="S1314" s="259"/>
      <c r="T1314" s="213"/>
      <c r="U1314" s="213"/>
      <c r="V1314" s="213"/>
      <c r="W1314" s="213"/>
      <c r="X1314" s="213"/>
      <c r="Y1314" s="213"/>
      <c r="Z1314" s="213"/>
      <c r="AA1314" s="213"/>
      <c r="AB1314" s="213"/>
      <c r="AC1314" s="207"/>
      <c r="AD1314"/>
      <c r="AE1314" s="206"/>
      <c r="AF1314" s="94"/>
      <c r="AG1314" s="94"/>
      <c r="AH1314" s="94"/>
      <c r="AI1314" s="94"/>
      <c r="AJ1314" s="94"/>
      <c r="AK1314" s="94"/>
      <c r="AL1314" s="94"/>
      <c r="AM1314" s="254"/>
      <c r="AN1314" s="254"/>
      <c r="AO1314" s="94"/>
      <c r="AP1314" s="94"/>
      <c r="AQ1314" s="94"/>
      <c r="AR1314" s="94"/>
      <c r="AS1314" s="207"/>
    </row>
    <row r="1315" spans="13:45" ht="12.75">
      <c r="M1315" s="104"/>
      <c r="O1315" s="206"/>
      <c r="P1315" s="94"/>
      <c r="Q1315" s="180"/>
      <c r="R1315" s="258"/>
      <c r="S1315" s="259"/>
      <c r="T1315" s="213"/>
      <c r="U1315" s="213"/>
      <c r="V1315" s="213"/>
      <c r="W1315" s="213"/>
      <c r="X1315" s="213"/>
      <c r="Y1315" s="213"/>
      <c r="Z1315" s="213"/>
      <c r="AA1315" s="213"/>
      <c r="AB1315" s="213"/>
      <c r="AC1315" s="207"/>
      <c r="AD1315"/>
      <c r="AE1315" s="206"/>
      <c r="AF1315" s="94"/>
      <c r="AG1315" s="94"/>
      <c r="AH1315" s="94"/>
      <c r="AI1315" s="94"/>
      <c r="AJ1315" s="94"/>
      <c r="AK1315" s="94"/>
      <c r="AL1315" s="94"/>
      <c r="AM1315" s="254"/>
      <c r="AN1315" s="254"/>
      <c r="AO1315" s="94"/>
      <c r="AP1315" s="94"/>
      <c r="AQ1315" s="94"/>
      <c r="AR1315" s="94"/>
      <c r="AS1315" s="207"/>
    </row>
    <row r="1316" spans="13:45" ht="12.75">
      <c r="M1316" s="104"/>
      <c r="O1316" s="206"/>
      <c r="P1316" s="94"/>
      <c r="Q1316" s="180"/>
      <c r="R1316" s="258"/>
      <c r="S1316" s="259"/>
      <c r="T1316" s="213"/>
      <c r="U1316" s="213"/>
      <c r="V1316" s="213"/>
      <c r="W1316" s="213"/>
      <c r="X1316" s="213"/>
      <c r="Y1316" s="213"/>
      <c r="Z1316" s="213"/>
      <c r="AA1316" s="213"/>
      <c r="AB1316" s="213"/>
      <c r="AC1316" s="207"/>
      <c r="AD1316"/>
      <c r="AE1316" s="206"/>
      <c r="AF1316" s="94"/>
      <c r="AG1316" s="94"/>
      <c r="AH1316" s="94"/>
      <c r="AI1316" s="94"/>
      <c r="AJ1316" s="94"/>
      <c r="AK1316" s="94"/>
      <c r="AL1316" s="94"/>
      <c r="AM1316" s="254"/>
      <c r="AN1316" s="254"/>
      <c r="AO1316" s="94"/>
      <c r="AP1316" s="94"/>
      <c r="AQ1316" s="94"/>
      <c r="AR1316" s="94"/>
      <c r="AS1316" s="207"/>
    </row>
    <row r="1317" spans="13:45" ht="12.75">
      <c r="M1317" s="104"/>
      <c r="O1317" s="206"/>
      <c r="P1317" s="94"/>
      <c r="Q1317" s="180"/>
      <c r="R1317" s="258"/>
      <c r="S1317" s="259"/>
      <c r="T1317" s="213"/>
      <c r="U1317" s="213"/>
      <c r="V1317" s="213"/>
      <c r="W1317" s="213"/>
      <c r="X1317" s="213"/>
      <c r="Y1317" s="213"/>
      <c r="Z1317" s="213"/>
      <c r="AA1317" s="213"/>
      <c r="AB1317" s="213"/>
      <c r="AC1317" s="207"/>
      <c r="AD1317"/>
      <c r="AE1317" s="206"/>
      <c r="AF1317" s="94"/>
      <c r="AG1317" s="94"/>
      <c r="AH1317" s="94"/>
      <c r="AI1317" s="94"/>
      <c r="AJ1317" s="94"/>
      <c r="AK1317" s="94"/>
      <c r="AL1317" s="94"/>
      <c r="AM1317" s="254"/>
      <c r="AN1317" s="254"/>
      <c r="AO1317" s="94"/>
      <c r="AP1317" s="94"/>
      <c r="AQ1317" s="94"/>
      <c r="AR1317" s="94"/>
      <c r="AS1317" s="207"/>
    </row>
    <row r="1318" spans="13:45" ht="12.75">
      <c r="M1318" s="104"/>
      <c r="O1318" s="206"/>
      <c r="P1318" s="94"/>
      <c r="Q1318" s="180"/>
      <c r="R1318" s="258"/>
      <c r="S1318" s="259"/>
      <c r="T1318" s="213"/>
      <c r="U1318" s="213"/>
      <c r="V1318" s="213"/>
      <c r="W1318" s="213"/>
      <c r="X1318" s="213"/>
      <c r="Y1318" s="213"/>
      <c r="Z1318" s="213"/>
      <c r="AA1318" s="213"/>
      <c r="AB1318" s="213"/>
      <c r="AC1318" s="207"/>
      <c r="AD1318"/>
      <c r="AE1318" s="206"/>
      <c r="AF1318" s="94"/>
      <c r="AG1318" s="94"/>
      <c r="AH1318" s="94"/>
      <c r="AI1318" s="94"/>
      <c r="AJ1318" s="94"/>
      <c r="AK1318" s="94"/>
      <c r="AL1318" s="94"/>
      <c r="AM1318" s="254"/>
      <c r="AN1318" s="254"/>
      <c r="AO1318" s="94"/>
      <c r="AP1318" s="94"/>
      <c r="AQ1318" s="94"/>
      <c r="AR1318" s="94"/>
      <c r="AS1318" s="207"/>
    </row>
    <row r="1319" spans="13:45" ht="12.75">
      <c r="M1319" s="104"/>
      <c r="O1319" s="206"/>
      <c r="P1319" s="94"/>
      <c r="Q1319" s="180"/>
      <c r="R1319" s="258"/>
      <c r="S1319" s="259"/>
      <c r="T1319" s="213"/>
      <c r="U1319" s="213"/>
      <c r="V1319" s="213"/>
      <c r="W1319" s="213"/>
      <c r="X1319" s="213"/>
      <c r="Y1319" s="213"/>
      <c r="Z1319" s="213"/>
      <c r="AA1319" s="213"/>
      <c r="AB1319" s="213"/>
      <c r="AC1319" s="207"/>
      <c r="AD1319"/>
      <c r="AE1319" s="206"/>
      <c r="AF1319" s="94"/>
      <c r="AG1319" s="94"/>
      <c r="AH1319" s="94"/>
      <c r="AI1319" s="94"/>
      <c r="AJ1319" s="94"/>
      <c r="AK1319" s="94"/>
      <c r="AL1319" s="94"/>
      <c r="AM1319" s="254"/>
      <c r="AN1319" s="254"/>
      <c r="AO1319" s="94"/>
      <c r="AP1319" s="94"/>
      <c r="AQ1319" s="94"/>
      <c r="AR1319" s="94"/>
      <c r="AS1319" s="207"/>
    </row>
    <row r="1320" spans="13:45" ht="12.75">
      <c r="M1320" s="104"/>
      <c r="O1320" s="206"/>
      <c r="P1320" s="94"/>
      <c r="Q1320" s="180"/>
      <c r="R1320" s="258"/>
      <c r="S1320" s="259"/>
      <c r="T1320" s="213"/>
      <c r="U1320" s="213"/>
      <c r="V1320" s="213"/>
      <c r="W1320" s="213"/>
      <c r="X1320" s="213"/>
      <c r="Y1320" s="213"/>
      <c r="Z1320" s="213"/>
      <c r="AA1320" s="213"/>
      <c r="AB1320" s="213"/>
      <c r="AC1320" s="207"/>
      <c r="AD1320"/>
      <c r="AE1320" s="206"/>
      <c r="AF1320" s="94"/>
      <c r="AG1320" s="94"/>
      <c r="AH1320" s="94"/>
      <c r="AI1320" s="94"/>
      <c r="AJ1320" s="94"/>
      <c r="AK1320" s="94"/>
      <c r="AL1320" s="94"/>
      <c r="AM1320" s="254"/>
      <c r="AN1320" s="254"/>
      <c r="AO1320" s="94"/>
      <c r="AP1320" s="94"/>
      <c r="AQ1320" s="94"/>
      <c r="AR1320" s="94"/>
      <c r="AS1320" s="207"/>
    </row>
    <row r="1321" spans="13:45" ht="12.75">
      <c r="M1321" s="104"/>
      <c r="O1321" s="206"/>
      <c r="P1321" s="94"/>
      <c r="Q1321" s="180"/>
      <c r="R1321" s="258"/>
      <c r="S1321" s="259"/>
      <c r="T1321" s="213"/>
      <c r="U1321" s="213"/>
      <c r="V1321" s="213"/>
      <c r="W1321" s="213"/>
      <c r="X1321" s="213"/>
      <c r="Y1321" s="213"/>
      <c r="Z1321" s="213"/>
      <c r="AA1321" s="213"/>
      <c r="AB1321" s="213"/>
      <c r="AC1321" s="207"/>
      <c r="AD1321"/>
      <c r="AE1321" s="206"/>
      <c r="AF1321" s="94"/>
      <c r="AG1321" s="94"/>
      <c r="AH1321" s="94"/>
      <c r="AI1321" s="94"/>
      <c r="AJ1321" s="94"/>
      <c r="AK1321" s="94"/>
      <c r="AL1321" s="94"/>
      <c r="AM1321" s="254"/>
      <c r="AN1321" s="254"/>
      <c r="AO1321" s="94"/>
      <c r="AP1321" s="94"/>
      <c r="AQ1321" s="94"/>
      <c r="AR1321" s="94"/>
      <c r="AS1321" s="207"/>
    </row>
    <row r="1322" spans="13:45" ht="12.75">
      <c r="M1322" s="104"/>
      <c r="O1322" s="206"/>
      <c r="P1322" s="94"/>
      <c r="Q1322" s="180"/>
      <c r="R1322" s="258"/>
      <c r="S1322" s="259"/>
      <c r="T1322" s="213"/>
      <c r="U1322" s="213"/>
      <c r="V1322" s="213"/>
      <c r="W1322" s="213"/>
      <c r="X1322" s="213"/>
      <c r="Y1322" s="213"/>
      <c r="Z1322" s="213"/>
      <c r="AA1322" s="213"/>
      <c r="AB1322" s="213"/>
      <c r="AC1322" s="207"/>
      <c r="AD1322"/>
      <c r="AE1322" s="206"/>
      <c r="AF1322" s="94"/>
      <c r="AG1322" s="94"/>
      <c r="AH1322" s="94"/>
      <c r="AI1322" s="94"/>
      <c r="AJ1322" s="94"/>
      <c r="AK1322" s="94"/>
      <c r="AL1322" s="94"/>
      <c r="AM1322" s="254"/>
      <c r="AN1322" s="254"/>
      <c r="AO1322" s="94"/>
      <c r="AP1322" s="94"/>
      <c r="AQ1322" s="94"/>
      <c r="AR1322" s="94"/>
      <c r="AS1322" s="207"/>
    </row>
    <row r="1323" spans="13:45" ht="12.75">
      <c r="M1323" s="104"/>
      <c r="O1323" s="206"/>
      <c r="P1323" s="94"/>
      <c r="Q1323" s="180"/>
      <c r="R1323" s="258"/>
      <c r="S1323" s="259"/>
      <c r="T1323" s="213"/>
      <c r="U1323" s="213"/>
      <c r="V1323" s="213"/>
      <c r="W1323" s="213"/>
      <c r="X1323" s="213"/>
      <c r="Y1323" s="213"/>
      <c r="Z1323" s="213"/>
      <c r="AA1323" s="213"/>
      <c r="AB1323" s="213"/>
      <c r="AC1323" s="207"/>
      <c r="AD1323"/>
      <c r="AE1323" s="206"/>
      <c r="AF1323" s="94"/>
      <c r="AG1323" s="94"/>
      <c r="AH1323" s="94"/>
      <c r="AI1323" s="94"/>
      <c r="AJ1323" s="94"/>
      <c r="AK1323" s="94"/>
      <c r="AL1323" s="94"/>
      <c r="AM1323" s="254"/>
      <c r="AN1323" s="254"/>
      <c r="AO1323" s="94"/>
      <c r="AP1323" s="94"/>
      <c r="AQ1323" s="94"/>
      <c r="AR1323" s="94"/>
      <c r="AS1323" s="207"/>
    </row>
    <row r="1324" spans="13:45" ht="12.75">
      <c r="M1324" s="104"/>
      <c r="O1324" s="206"/>
      <c r="P1324" s="94"/>
      <c r="Q1324" s="180"/>
      <c r="R1324" s="258"/>
      <c r="S1324" s="259"/>
      <c r="T1324" s="213"/>
      <c r="U1324" s="213"/>
      <c r="V1324" s="213"/>
      <c r="W1324" s="213"/>
      <c r="X1324" s="213"/>
      <c r="Y1324" s="213"/>
      <c r="Z1324" s="213"/>
      <c r="AA1324" s="213"/>
      <c r="AB1324" s="213"/>
      <c r="AC1324" s="207"/>
      <c r="AD1324"/>
      <c r="AE1324" s="206"/>
      <c r="AF1324" s="94"/>
      <c r="AG1324" s="94"/>
      <c r="AH1324" s="94"/>
      <c r="AI1324" s="94"/>
      <c r="AJ1324" s="94"/>
      <c r="AK1324" s="94"/>
      <c r="AL1324" s="94"/>
      <c r="AM1324" s="254"/>
      <c r="AN1324" s="254"/>
      <c r="AO1324" s="94"/>
      <c r="AP1324" s="94"/>
      <c r="AQ1324" s="94"/>
      <c r="AR1324" s="94"/>
      <c r="AS1324" s="207"/>
    </row>
    <row r="1325" spans="13:45" ht="12.75">
      <c r="M1325" s="104"/>
      <c r="O1325" s="206"/>
      <c r="P1325" s="94"/>
      <c r="Q1325" s="180"/>
      <c r="R1325" s="258"/>
      <c r="S1325" s="259"/>
      <c r="T1325" s="213"/>
      <c r="U1325" s="213"/>
      <c r="V1325" s="213"/>
      <c r="W1325" s="213"/>
      <c r="X1325" s="213"/>
      <c r="Y1325" s="213"/>
      <c r="Z1325" s="213"/>
      <c r="AA1325" s="213"/>
      <c r="AB1325" s="213"/>
      <c r="AC1325" s="207"/>
      <c r="AD1325"/>
      <c r="AE1325" s="206"/>
      <c r="AF1325" s="94"/>
      <c r="AG1325" s="94"/>
      <c r="AH1325" s="94"/>
      <c r="AI1325" s="94"/>
      <c r="AJ1325" s="94"/>
      <c r="AK1325" s="94"/>
      <c r="AL1325" s="94"/>
      <c r="AM1325" s="254"/>
      <c r="AN1325" s="254"/>
      <c r="AO1325" s="94"/>
      <c r="AP1325" s="94"/>
      <c r="AQ1325" s="94"/>
      <c r="AR1325" s="94"/>
      <c r="AS1325" s="207"/>
    </row>
    <row r="1326" spans="13:45" ht="12.75">
      <c r="M1326" s="104"/>
      <c r="O1326" s="206"/>
      <c r="P1326" s="94"/>
      <c r="Q1326" s="180"/>
      <c r="R1326" s="258"/>
      <c r="S1326" s="259"/>
      <c r="T1326" s="213"/>
      <c r="U1326" s="213"/>
      <c r="V1326" s="213"/>
      <c r="W1326" s="213"/>
      <c r="X1326" s="213"/>
      <c r="Y1326" s="213"/>
      <c r="Z1326" s="213"/>
      <c r="AA1326" s="213"/>
      <c r="AB1326" s="213"/>
      <c r="AC1326" s="207"/>
      <c r="AD1326"/>
      <c r="AE1326" s="206"/>
      <c r="AF1326" s="94"/>
      <c r="AG1326" s="94"/>
      <c r="AH1326" s="94"/>
      <c r="AI1326" s="94"/>
      <c r="AJ1326" s="94"/>
      <c r="AK1326" s="94"/>
      <c r="AL1326" s="94"/>
      <c r="AM1326" s="254"/>
      <c r="AN1326" s="254"/>
      <c r="AO1326" s="94"/>
      <c r="AP1326" s="94"/>
      <c r="AQ1326" s="94"/>
      <c r="AR1326" s="94"/>
      <c r="AS1326" s="207"/>
    </row>
    <row r="1327" spans="13:45" ht="12.75">
      <c r="M1327" s="104"/>
      <c r="O1327" s="206"/>
      <c r="P1327" s="94"/>
      <c r="Q1327" s="180"/>
      <c r="R1327" s="258"/>
      <c r="S1327" s="259"/>
      <c r="T1327" s="213"/>
      <c r="U1327" s="213"/>
      <c r="V1327" s="213"/>
      <c r="W1327" s="213"/>
      <c r="X1327" s="213"/>
      <c r="Y1327" s="213"/>
      <c r="Z1327" s="213"/>
      <c r="AA1327" s="213"/>
      <c r="AB1327" s="213"/>
      <c r="AC1327" s="207"/>
      <c r="AD1327"/>
      <c r="AE1327" s="206"/>
      <c r="AF1327" s="94"/>
      <c r="AG1327" s="94"/>
      <c r="AH1327" s="94"/>
      <c r="AI1327" s="94"/>
      <c r="AJ1327" s="94"/>
      <c r="AK1327" s="94"/>
      <c r="AL1327" s="94"/>
      <c r="AM1327" s="254"/>
      <c r="AN1327" s="254"/>
      <c r="AO1327" s="94"/>
      <c r="AP1327" s="94"/>
      <c r="AQ1327" s="94"/>
      <c r="AR1327" s="94"/>
      <c r="AS1327" s="207"/>
    </row>
    <row r="1328" spans="13:45" ht="12.75">
      <c r="M1328" s="104"/>
      <c r="O1328" s="206"/>
      <c r="P1328" s="94"/>
      <c r="Q1328" s="180"/>
      <c r="R1328" s="258"/>
      <c r="S1328" s="259"/>
      <c r="T1328" s="213"/>
      <c r="U1328" s="213"/>
      <c r="V1328" s="213"/>
      <c r="W1328" s="213"/>
      <c r="X1328" s="213"/>
      <c r="Y1328" s="213"/>
      <c r="Z1328" s="213"/>
      <c r="AA1328" s="213"/>
      <c r="AB1328" s="213"/>
      <c r="AC1328" s="207"/>
      <c r="AD1328"/>
      <c r="AE1328" s="206"/>
      <c r="AF1328" s="94"/>
      <c r="AG1328" s="94"/>
      <c r="AH1328" s="94"/>
      <c r="AI1328" s="94"/>
      <c r="AJ1328" s="94"/>
      <c r="AK1328" s="94"/>
      <c r="AL1328" s="94"/>
      <c r="AM1328" s="254"/>
      <c r="AN1328" s="254"/>
      <c r="AO1328" s="94"/>
      <c r="AP1328" s="94"/>
      <c r="AQ1328" s="94"/>
      <c r="AR1328" s="94"/>
      <c r="AS1328" s="207"/>
    </row>
    <row r="1329" spans="13:45" ht="12.75">
      <c r="M1329" s="104"/>
      <c r="O1329" s="206"/>
      <c r="P1329" s="94"/>
      <c r="Q1329" s="180"/>
      <c r="R1329" s="258"/>
      <c r="S1329" s="259"/>
      <c r="T1329" s="213"/>
      <c r="U1329" s="213"/>
      <c r="V1329" s="213"/>
      <c r="W1329" s="213"/>
      <c r="X1329" s="213"/>
      <c r="Y1329" s="213"/>
      <c r="Z1329" s="213"/>
      <c r="AA1329" s="213"/>
      <c r="AB1329" s="213"/>
      <c r="AC1329" s="207"/>
      <c r="AD1329"/>
      <c r="AE1329" s="206"/>
      <c r="AF1329" s="94"/>
      <c r="AG1329" s="94"/>
      <c r="AH1329" s="94"/>
      <c r="AI1329" s="94"/>
      <c r="AJ1329" s="94"/>
      <c r="AK1329" s="94"/>
      <c r="AL1329" s="94"/>
      <c r="AM1329" s="254"/>
      <c r="AN1329" s="254"/>
      <c r="AO1329" s="94"/>
      <c r="AP1329" s="94"/>
      <c r="AQ1329" s="94"/>
      <c r="AR1329" s="94"/>
      <c r="AS1329" s="207"/>
    </row>
    <row r="1330" spans="13:45" ht="12.75">
      <c r="M1330" s="104"/>
      <c r="O1330" s="206"/>
      <c r="P1330" s="94"/>
      <c r="Q1330" s="180"/>
      <c r="R1330" s="258"/>
      <c r="S1330" s="259"/>
      <c r="T1330" s="213"/>
      <c r="U1330" s="213"/>
      <c r="V1330" s="213"/>
      <c r="W1330" s="213"/>
      <c r="X1330" s="213"/>
      <c r="Y1330" s="213"/>
      <c r="Z1330" s="213"/>
      <c r="AA1330" s="213"/>
      <c r="AB1330" s="213"/>
      <c r="AC1330" s="207"/>
      <c r="AD1330"/>
      <c r="AE1330" s="206"/>
      <c r="AF1330" s="94"/>
      <c r="AG1330" s="94"/>
      <c r="AH1330" s="94"/>
      <c r="AI1330" s="94"/>
      <c r="AJ1330" s="94"/>
      <c r="AK1330" s="94"/>
      <c r="AL1330" s="94"/>
      <c r="AM1330" s="254"/>
      <c r="AN1330" s="254"/>
      <c r="AO1330" s="94"/>
      <c r="AP1330" s="94"/>
      <c r="AQ1330" s="94"/>
      <c r="AR1330" s="94"/>
      <c r="AS1330" s="207"/>
    </row>
    <row r="1331" spans="13:45" ht="12.75">
      <c r="M1331" s="104"/>
      <c r="O1331" s="206"/>
      <c r="P1331" s="94"/>
      <c r="Q1331" s="180"/>
      <c r="R1331" s="258"/>
      <c r="S1331" s="259"/>
      <c r="T1331" s="213"/>
      <c r="U1331" s="213"/>
      <c r="V1331" s="213"/>
      <c r="W1331" s="213"/>
      <c r="X1331" s="213"/>
      <c r="Y1331" s="213"/>
      <c r="Z1331" s="213"/>
      <c r="AA1331" s="213"/>
      <c r="AB1331" s="213"/>
      <c r="AC1331" s="207"/>
      <c r="AD1331"/>
      <c r="AE1331" s="206"/>
      <c r="AF1331" s="94"/>
      <c r="AG1331" s="94"/>
      <c r="AH1331" s="94"/>
      <c r="AI1331" s="94"/>
      <c r="AJ1331" s="94"/>
      <c r="AK1331" s="94"/>
      <c r="AL1331" s="94"/>
      <c r="AM1331" s="254"/>
      <c r="AN1331" s="254"/>
      <c r="AO1331" s="94"/>
      <c r="AP1331" s="94"/>
      <c r="AQ1331" s="94"/>
      <c r="AR1331" s="94"/>
      <c r="AS1331" s="207"/>
    </row>
    <row r="1332" spans="13:45" ht="12.75">
      <c r="M1332" s="104"/>
      <c r="O1332" s="206"/>
      <c r="P1332" s="94"/>
      <c r="Q1332" s="180"/>
      <c r="R1332" s="258"/>
      <c r="S1332" s="259"/>
      <c r="T1332" s="213"/>
      <c r="U1332" s="213"/>
      <c r="V1332" s="213"/>
      <c r="W1332" s="213"/>
      <c r="X1332" s="213"/>
      <c r="Y1332" s="213"/>
      <c r="Z1332" s="213"/>
      <c r="AA1332" s="213"/>
      <c r="AB1332" s="213"/>
      <c r="AC1332" s="207"/>
      <c r="AD1332"/>
      <c r="AE1332" s="206"/>
      <c r="AF1332" s="94"/>
      <c r="AG1332" s="94"/>
      <c r="AH1332" s="94"/>
      <c r="AI1332" s="94"/>
      <c r="AJ1332" s="94"/>
      <c r="AK1332" s="94"/>
      <c r="AL1332" s="94"/>
      <c r="AM1332" s="254"/>
      <c r="AN1332" s="254"/>
      <c r="AO1332" s="94"/>
      <c r="AP1332" s="94"/>
      <c r="AQ1332" s="94"/>
      <c r="AR1332" s="94"/>
      <c r="AS1332" s="207"/>
    </row>
    <row r="1333" spans="13:45" ht="12.75">
      <c r="M1333" s="104"/>
      <c r="O1333" s="206"/>
      <c r="P1333" s="94"/>
      <c r="Q1333" s="180"/>
      <c r="R1333" s="258"/>
      <c r="S1333" s="259"/>
      <c r="T1333" s="213"/>
      <c r="U1333" s="213"/>
      <c r="V1333" s="213"/>
      <c r="W1333" s="213"/>
      <c r="X1333" s="213"/>
      <c r="Y1333" s="213"/>
      <c r="Z1333" s="213"/>
      <c r="AA1333" s="213"/>
      <c r="AB1333" s="213"/>
      <c r="AC1333" s="207"/>
      <c r="AD1333"/>
      <c r="AE1333" s="206"/>
      <c r="AF1333" s="94"/>
      <c r="AG1333" s="94"/>
      <c r="AH1333" s="94"/>
      <c r="AI1333" s="94"/>
      <c r="AJ1333" s="94"/>
      <c r="AK1333" s="94"/>
      <c r="AL1333" s="94"/>
      <c r="AM1333" s="254"/>
      <c r="AN1333" s="254"/>
      <c r="AO1333" s="94"/>
      <c r="AP1333" s="94"/>
      <c r="AQ1333" s="94"/>
      <c r="AR1333" s="94"/>
      <c r="AS1333" s="207"/>
    </row>
    <row r="1334" spans="13:45" ht="12.75">
      <c r="M1334" s="104"/>
      <c r="O1334" s="206"/>
      <c r="P1334" s="94"/>
      <c r="Q1334" s="180"/>
      <c r="R1334" s="258"/>
      <c r="S1334" s="259"/>
      <c r="T1334" s="213"/>
      <c r="U1334" s="213"/>
      <c r="V1334" s="213"/>
      <c r="W1334" s="213"/>
      <c r="X1334" s="213"/>
      <c r="Y1334" s="213"/>
      <c r="Z1334" s="213"/>
      <c r="AA1334" s="213"/>
      <c r="AB1334" s="213"/>
      <c r="AC1334" s="207"/>
      <c r="AD1334"/>
      <c r="AE1334" s="206"/>
      <c r="AF1334" s="94"/>
      <c r="AG1334" s="94"/>
      <c r="AH1334" s="94"/>
      <c r="AI1334" s="94"/>
      <c r="AJ1334" s="94"/>
      <c r="AK1334" s="94"/>
      <c r="AL1334" s="94"/>
      <c r="AM1334" s="254"/>
      <c r="AN1334" s="254"/>
      <c r="AO1334" s="94"/>
      <c r="AP1334" s="94"/>
      <c r="AQ1334" s="94"/>
      <c r="AR1334" s="94"/>
      <c r="AS1334" s="207"/>
    </row>
    <row r="1335" spans="13:45" ht="12.75">
      <c r="M1335" s="104"/>
      <c r="O1335" s="206"/>
      <c r="P1335" s="94"/>
      <c r="Q1335" s="180"/>
      <c r="R1335" s="258"/>
      <c r="S1335" s="259"/>
      <c r="T1335" s="213"/>
      <c r="U1335" s="213"/>
      <c r="V1335" s="213"/>
      <c r="W1335" s="213"/>
      <c r="X1335" s="213"/>
      <c r="Y1335" s="213"/>
      <c r="Z1335" s="213"/>
      <c r="AA1335" s="213"/>
      <c r="AB1335" s="213"/>
      <c r="AC1335" s="207"/>
      <c r="AD1335"/>
      <c r="AE1335" s="206"/>
      <c r="AF1335" s="94"/>
      <c r="AG1335" s="94"/>
      <c r="AH1335" s="94"/>
      <c r="AI1335" s="94"/>
      <c r="AJ1335" s="94"/>
      <c r="AK1335" s="94"/>
      <c r="AL1335" s="94"/>
      <c r="AM1335" s="254"/>
      <c r="AN1335" s="254"/>
      <c r="AO1335" s="94"/>
      <c r="AP1335" s="94"/>
      <c r="AQ1335" s="94"/>
      <c r="AR1335" s="94"/>
      <c r="AS1335" s="207"/>
    </row>
    <row r="1336" spans="13:45" ht="12.75">
      <c r="M1336" s="104"/>
      <c r="O1336" s="206"/>
      <c r="P1336" s="94"/>
      <c r="Q1336" s="180"/>
      <c r="R1336" s="258"/>
      <c r="S1336" s="259"/>
      <c r="T1336" s="213"/>
      <c r="U1336" s="213"/>
      <c r="V1336" s="213"/>
      <c r="W1336" s="213"/>
      <c r="X1336" s="213"/>
      <c r="Y1336" s="213"/>
      <c r="Z1336" s="213"/>
      <c r="AA1336" s="213"/>
      <c r="AB1336" s="213"/>
      <c r="AC1336" s="207"/>
      <c r="AD1336"/>
      <c r="AE1336" s="206"/>
      <c r="AF1336" s="94"/>
      <c r="AG1336" s="94"/>
      <c r="AH1336" s="94"/>
      <c r="AI1336" s="94"/>
      <c r="AJ1336" s="94"/>
      <c r="AK1336" s="94"/>
      <c r="AL1336" s="94"/>
      <c r="AM1336" s="254"/>
      <c r="AN1336" s="254"/>
      <c r="AO1336" s="94"/>
      <c r="AP1336" s="94"/>
      <c r="AQ1336" s="94"/>
      <c r="AR1336" s="94"/>
      <c r="AS1336" s="207"/>
    </row>
    <row r="1337" spans="13:45" ht="12.75">
      <c r="M1337" s="104"/>
      <c r="O1337" s="206"/>
      <c r="P1337" s="94"/>
      <c r="Q1337" s="180"/>
      <c r="R1337" s="258"/>
      <c r="S1337" s="259"/>
      <c r="T1337" s="213"/>
      <c r="U1337" s="213"/>
      <c r="V1337" s="213"/>
      <c r="W1337" s="213"/>
      <c r="X1337" s="213"/>
      <c r="Y1337" s="213"/>
      <c r="Z1337" s="213"/>
      <c r="AA1337" s="213"/>
      <c r="AB1337" s="213"/>
      <c r="AC1337" s="207"/>
      <c r="AD1337"/>
      <c r="AE1337" s="206"/>
      <c r="AF1337" s="94"/>
      <c r="AG1337" s="94"/>
      <c r="AH1337" s="94"/>
      <c r="AI1337" s="94"/>
      <c r="AJ1337" s="94"/>
      <c r="AK1337" s="94"/>
      <c r="AL1337" s="94"/>
      <c r="AM1337" s="254"/>
      <c r="AN1337" s="254"/>
      <c r="AO1337" s="94"/>
      <c r="AP1337" s="94"/>
      <c r="AQ1337" s="94"/>
      <c r="AR1337" s="94"/>
      <c r="AS1337" s="207"/>
    </row>
    <row r="1338" spans="13:45" ht="12.75">
      <c r="M1338" s="104"/>
      <c r="O1338" s="206"/>
      <c r="P1338" s="94"/>
      <c r="Q1338" s="180"/>
      <c r="R1338" s="258"/>
      <c r="S1338" s="259"/>
      <c r="T1338" s="213"/>
      <c r="U1338" s="213"/>
      <c r="V1338" s="213"/>
      <c r="W1338" s="213"/>
      <c r="X1338" s="213"/>
      <c r="Y1338" s="213"/>
      <c r="Z1338" s="213"/>
      <c r="AA1338" s="213"/>
      <c r="AB1338" s="213"/>
      <c r="AC1338" s="207"/>
      <c r="AD1338"/>
      <c r="AE1338" s="206"/>
      <c r="AF1338" s="94"/>
      <c r="AG1338" s="94"/>
      <c r="AH1338" s="94"/>
      <c r="AI1338" s="94"/>
      <c r="AJ1338" s="94"/>
      <c r="AK1338" s="94"/>
      <c r="AL1338" s="94"/>
      <c r="AM1338" s="254"/>
      <c r="AN1338" s="254"/>
      <c r="AO1338" s="94"/>
      <c r="AP1338" s="94"/>
      <c r="AQ1338" s="94"/>
      <c r="AR1338" s="94"/>
      <c r="AS1338" s="207"/>
    </row>
    <row r="1339" spans="13:45" ht="12.75">
      <c r="M1339" s="104"/>
      <c r="O1339" s="206"/>
      <c r="P1339" s="94"/>
      <c r="Q1339" s="180"/>
      <c r="R1339" s="258"/>
      <c r="S1339" s="259"/>
      <c r="T1339" s="213"/>
      <c r="U1339" s="213"/>
      <c r="V1339" s="213"/>
      <c r="W1339" s="213"/>
      <c r="X1339" s="213"/>
      <c r="Y1339" s="213"/>
      <c r="Z1339" s="213"/>
      <c r="AA1339" s="213"/>
      <c r="AB1339" s="213"/>
      <c r="AC1339" s="207"/>
      <c r="AD1339"/>
      <c r="AE1339" s="206"/>
      <c r="AF1339" s="94"/>
      <c r="AG1339" s="94"/>
      <c r="AH1339" s="94"/>
      <c r="AI1339" s="94"/>
      <c r="AJ1339" s="94"/>
      <c r="AK1339" s="94"/>
      <c r="AL1339" s="94"/>
      <c r="AM1339" s="254"/>
      <c r="AN1339" s="254"/>
      <c r="AO1339" s="94"/>
      <c r="AP1339" s="94"/>
      <c r="AQ1339" s="94"/>
      <c r="AR1339" s="94"/>
      <c r="AS1339" s="207"/>
    </row>
    <row r="1340" spans="13:45" ht="12.75">
      <c r="M1340" s="104"/>
      <c r="O1340" s="206"/>
      <c r="P1340" s="94"/>
      <c r="Q1340" s="180"/>
      <c r="R1340" s="258"/>
      <c r="S1340" s="259"/>
      <c r="T1340" s="213"/>
      <c r="U1340" s="213"/>
      <c r="V1340" s="213"/>
      <c r="W1340" s="213"/>
      <c r="X1340" s="213"/>
      <c r="Y1340" s="213"/>
      <c r="Z1340" s="213"/>
      <c r="AA1340" s="213"/>
      <c r="AB1340" s="213"/>
      <c r="AC1340" s="207"/>
      <c r="AD1340"/>
      <c r="AE1340" s="206"/>
      <c r="AF1340" s="94"/>
      <c r="AG1340" s="94"/>
      <c r="AH1340" s="94"/>
      <c r="AI1340" s="94"/>
      <c r="AJ1340" s="94"/>
      <c r="AK1340" s="94"/>
      <c r="AL1340" s="94"/>
      <c r="AM1340" s="254"/>
      <c r="AN1340" s="254"/>
      <c r="AO1340" s="94"/>
      <c r="AP1340" s="94"/>
      <c r="AQ1340" s="94"/>
      <c r="AR1340" s="94"/>
      <c r="AS1340" s="207"/>
    </row>
    <row r="1341" spans="13:45" ht="12.75">
      <c r="M1341" s="104"/>
      <c r="O1341" s="206"/>
      <c r="P1341" s="94"/>
      <c r="Q1341" s="180"/>
      <c r="R1341" s="258"/>
      <c r="S1341" s="259"/>
      <c r="T1341" s="213"/>
      <c r="U1341" s="213"/>
      <c r="V1341" s="213"/>
      <c r="W1341" s="213"/>
      <c r="X1341" s="213"/>
      <c r="Y1341" s="213"/>
      <c r="Z1341" s="213"/>
      <c r="AA1341" s="213"/>
      <c r="AB1341" s="213"/>
      <c r="AC1341" s="207"/>
      <c r="AD1341"/>
      <c r="AE1341" s="206"/>
      <c r="AF1341" s="94"/>
      <c r="AG1341" s="94"/>
      <c r="AH1341" s="94"/>
      <c r="AI1341" s="94"/>
      <c r="AJ1341" s="94"/>
      <c r="AK1341" s="94"/>
      <c r="AL1341" s="94"/>
      <c r="AM1341" s="254"/>
      <c r="AN1341" s="254"/>
      <c r="AO1341" s="94"/>
      <c r="AP1341" s="94"/>
      <c r="AQ1341" s="94"/>
      <c r="AR1341" s="94"/>
      <c r="AS1341" s="207"/>
    </row>
    <row r="1342" spans="13:45" ht="12.75">
      <c r="M1342" s="104"/>
      <c r="O1342" s="206"/>
      <c r="P1342" s="94"/>
      <c r="Q1342" s="180"/>
      <c r="R1342" s="258"/>
      <c r="S1342" s="259"/>
      <c r="T1342" s="213"/>
      <c r="U1342" s="213"/>
      <c r="V1342" s="213"/>
      <c r="W1342" s="213"/>
      <c r="X1342" s="213"/>
      <c r="Y1342" s="213"/>
      <c r="Z1342" s="213"/>
      <c r="AA1342" s="213"/>
      <c r="AB1342" s="213"/>
      <c r="AC1342" s="207"/>
      <c r="AD1342"/>
      <c r="AE1342" s="206"/>
      <c r="AF1342" s="94"/>
      <c r="AG1342" s="94"/>
      <c r="AH1342" s="94"/>
      <c r="AI1342" s="94"/>
      <c r="AJ1342" s="94"/>
      <c r="AK1342" s="94"/>
      <c r="AL1342" s="94"/>
      <c r="AM1342" s="254"/>
      <c r="AN1342" s="254"/>
      <c r="AO1342" s="94"/>
      <c r="AP1342" s="94"/>
      <c r="AQ1342" s="94"/>
      <c r="AR1342" s="94"/>
      <c r="AS1342" s="207"/>
    </row>
    <row r="1343" spans="13:45" ht="12.75">
      <c r="M1343" s="104"/>
      <c r="O1343" s="206"/>
      <c r="P1343" s="94"/>
      <c r="Q1343" s="180"/>
      <c r="R1343" s="258"/>
      <c r="S1343" s="259"/>
      <c r="T1343" s="213"/>
      <c r="U1343" s="213"/>
      <c r="V1343" s="213"/>
      <c r="W1343" s="213"/>
      <c r="X1343" s="213"/>
      <c r="Y1343" s="213"/>
      <c r="Z1343" s="213"/>
      <c r="AA1343" s="213"/>
      <c r="AB1343" s="213"/>
      <c r="AC1343" s="207"/>
      <c r="AD1343"/>
      <c r="AE1343" s="206"/>
      <c r="AF1343" s="94"/>
      <c r="AG1343" s="94"/>
      <c r="AH1343" s="94"/>
      <c r="AI1343" s="94"/>
      <c r="AJ1343" s="94"/>
      <c r="AK1343" s="94"/>
      <c r="AL1343" s="94"/>
      <c r="AM1343" s="254"/>
      <c r="AN1343" s="254"/>
      <c r="AO1343" s="94"/>
      <c r="AP1343" s="94"/>
      <c r="AQ1343" s="94"/>
      <c r="AR1343" s="94"/>
      <c r="AS1343" s="207"/>
    </row>
    <row r="1344" spans="13:45" ht="12.75">
      <c r="M1344" s="104"/>
      <c r="O1344" s="206"/>
      <c r="P1344" s="94"/>
      <c r="Q1344" s="180"/>
      <c r="R1344" s="258"/>
      <c r="S1344" s="259"/>
      <c r="T1344" s="213"/>
      <c r="U1344" s="213"/>
      <c r="V1344" s="213"/>
      <c r="W1344" s="213"/>
      <c r="X1344" s="213"/>
      <c r="Y1344" s="213"/>
      <c r="Z1344" s="213"/>
      <c r="AA1344" s="213"/>
      <c r="AB1344" s="213"/>
      <c r="AC1344" s="207"/>
      <c r="AD1344"/>
      <c r="AE1344" s="206"/>
      <c r="AF1344" s="94"/>
      <c r="AG1344" s="94"/>
      <c r="AH1344" s="94"/>
      <c r="AI1344" s="94"/>
      <c r="AJ1344" s="94"/>
      <c r="AK1344" s="94"/>
      <c r="AL1344" s="94"/>
      <c r="AM1344" s="254"/>
      <c r="AN1344" s="254"/>
      <c r="AO1344" s="94"/>
      <c r="AP1344" s="94"/>
      <c r="AQ1344" s="94"/>
      <c r="AR1344" s="94"/>
      <c r="AS1344" s="207"/>
    </row>
    <row r="1345" spans="13:45" ht="12.75">
      <c r="M1345" s="104"/>
      <c r="O1345" s="206"/>
      <c r="P1345" s="94"/>
      <c r="Q1345" s="180"/>
      <c r="R1345" s="258"/>
      <c r="S1345" s="259"/>
      <c r="T1345" s="213"/>
      <c r="U1345" s="213"/>
      <c r="V1345" s="213"/>
      <c r="W1345" s="213"/>
      <c r="X1345" s="213"/>
      <c r="Y1345" s="213"/>
      <c r="Z1345" s="213"/>
      <c r="AA1345" s="213"/>
      <c r="AB1345" s="213"/>
      <c r="AC1345" s="207"/>
      <c r="AD1345"/>
      <c r="AE1345" s="206"/>
      <c r="AF1345" s="94"/>
      <c r="AG1345" s="94"/>
      <c r="AH1345" s="94"/>
      <c r="AI1345" s="94"/>
      <c r="AJ1345" s="94"/>
      <c r="AK1345" s="94"/>
      <c r="AL1345" s="94"/>
      <c r="AM1345" s="254"/>
      <c r="AN1345" s="254"/>
      <c r="AO1345" s="94"/>
      <c r="AP1345" s="94"/>
      <c r="AQ1345" s="94"/>
      <c r="AR1345" s="94"/>
      <c r="AS1345" s="207"/>
    </row>
    <row r="1346" spans="13:45" ht="12.75">
      <c r="M1346" s="104"/>
      <c r="O1346" s="206"/>
      <c r="P1346" s="94"/>
      <c r="Q1346" s="180"/>
      <c r="R1346" s="258"/>
      <c r="S1346" s="259"/>
      <c r="T1346" s="213"/>
      <c r="U1346" s="213"/>
      <c r="V1346" s="213"/>
      <c r="W1346" s="213"/>
      <c r="X1346" s="213"/>
      <c r="Y1346" s="213"/>
      <c r="Z1346" s="213"/>
      <c r="AA1346" s="213"/>
      <c r="AB1346" s="213"/>
      <c r="AC1346" s="207"/>
      <c r="AD1346"/>
      <c r="AE1346" s="206"/>
      <c r="AF1346" s="94"/>
      <c r="AG1346" s="94"/>
      <c r="AH1346" s="94"/>
      <c r="AI1346" s="94"/>
      <c r="AJ1346" s="94"/>
      <c r="AK1346" s="94"/>
      <c r="AL1346" s="94"/>
      <c r="AM1346" s="254"/>
      <c r="AN1346" s="254"/>
      <c r="AO1346" s="94"/>
      <c r="AP1346" s="94"/>
      <c r="AQ1346" s="94"/>
      <c r="AR1346" s="94"/>
      <c r="AS1346" s="207"/>
    </row>
    <row r="1347" spans="13:45" ht="12.75">
      <c r="M1347" s="104"/>
      <c r="O1347" s="206"/>
      <c r="P1347" s="94"/>
      <c r="Q1347" s="180"/>
      <c r="R1347" s="258"/>
      <c r="S1347" s="259"/>
      <c r="T1347" s="213"/>
      <c r="U1347" s="213"/>
      <c r="V1347" s="213"/>
      <c r="W1347" s="213"/>
      <c r="X1347" s="213"/>
      <c r="Y1347" s="213"/>
      <c r="Z1347" s="213"/>
      <c r="AA1347" s="213"/>
      <c r="AB1347" s="213"/>
      <c r="AC1347" s="207"/>
      <c r="AD1347"/>
      <c r="AE1347" s="206"/>
      <c r="AF1347" s="94"/>
      <c r="AG1347" s="94"/>
      <c r="AH1347" s="94"/>
      <c r="AI1347" s="94"/>
      <c r="AJ1347" s="94"/>
      <c r="AK1347" s="94"/>
      <c r="AL1347" s="94"/>
      <c r="AM1347" s="254"/>
      <c r="AN1347" s="254"/>
      <c r="AO1347" s="94"/>
      <c r="AP1347" s="94"/>
      <c r="AQ1347" s="94"/>
      <c r="AR1347" s="94"/>
      <c r="AS1347" s="207"/>
    </row>
    <row r="1348" spans="13:45" ht="12.75">
      <c r="M1348" s="104"/>
      <c r="O1348" s="206"/>
      <c r="P1348" s="94"/>
      <c r="Q1348" s="180"/>
      <c r="R1348" s="258"/>
      <c r="S1348" s="259"/>
      <c r="T1348" s="213"/>
      <c r="U1348" s="213"/>
      <c r="V1348" s="213"/>
      <c r="W1348" s="213"/>
      <c r="X1348" s="213"/>
      <c r="Y1348" s="213"/>
      <c r="Z1348" s="213"/>
      <c r="AA1348" s="213"/>
      <c r="AB1348" s="213"/>
      <c r="AC1348" s="207"/>
      <c r="AD1348"/>
      <c r="AE1348" s="206"/>
      <c r="AF1348" s="94"/>
      <c r="AG1348" s="94"/>
      <c r="AH1348" s="94"/>
      <c r="AI1348" s="94"/>
      <c r="AJ1348" s="94"/>
      <c r="AK1348" s="94"/>
      <c r="AL1348" s="94"/>
      <c r="AM1348" s="254"/>
      <c r="AN1348" s="254"/>
      <c r="AO1348" s="94"/>
      <c r="AP1348" s="94"/>
      <c r="AQ1348" s="94"/>
      <c r="AR1348" s="94"/>
      <c r="AS1348" s="207"/>
    </row>
    <row r="1349" spans="13:45" ht="12.75">
      <c r="M1349" s="104"/>
      <c r="O1349" s="206"/>
      <c r="P1349" s="94"/>
      <c r="Q1349" s="180"/>
      <c r="R1349" s="258"/>
      <c r="S1349" s="259"/>
      <c r="T1349" s="213"/>
      <c r="U1349" s="213"/>
      <c r="V1349" s="213"/>
      <c r="W1349" s="213"/>
      <c r="X1349" s="213"/>
      <c r="Y1349" s="213"/>
      <c r="Z1349" s="213"/>
      <c r="AA1349" s="213"/>
      <c r="AB1349" s="213"/>
      <c r="AC1349" s="207"/>
      <c r="AD1349"/>
      <c r="AE1349" s="206"/>
      <c r="AF1349" s="94"/>
      <c r="AG1349" s="94"/>
      <c r="AH1349" s="94"/>
      <c r="AI1349" s="94"/>
      <c r="AJ1349" s="94"/>
      <c r="AK1349" s="94"/>
      <c r="AL1349" s="94"/>
      <c r="AM1349" s="254"/>
      <c r="AN1349" s="254"/>
      <c r="AO1349" s="94"/>
      <c r="AP1349" s="94"/>
      <c r="AQ1349" s="94"/>
      <c r="AR1349" s="94"/>
      <c r="AS1349" s="207"/>
    </row>
    <row r="1350" spans="13:45" ht="12.75">
      <c r="M1350" s="104"/>
      <c r="O1350" s="206"/>
      <c r="P1350" s="94"/>
      <c r="Q1350" s="180"/>
      <c r="R1350" s="258"/>
      <c r="S1350" s="259"/>
      <c r="T1350" s="213"/>
      <c r="U1350" s="213"/>
      <c r="V1350" s="213"/>
      <c r="W1350" s="213"/>
      <c r="X1350" s="213"/>
      <c r="Y1350" s="213"/>
      <c r="Z1350" s="213"/>
      <c r="AA1350" s="213"/>
      <c r="AB1350" s="213"/>
      <c r="AC1350" s="207"/>
      <c r="AD1350"/>
      <c r="AE1350" s="206"/>
      <c r="AF1350" s="94"/>
      <c r="AG1350" s="94"/>
      <c r="AH1350" s="94"/>
      <c r="AI1350" s="94"/>
      <c r="AJ1350" s="94"/>
      <c r="AK1350" s="94"/>
      <c r="AL1350" s="94"/>
      <c r="AM1350" s="254"/>
      <c r="AN1350" s="254"/>
      <c r="AO1350" s="94"/>
      <c r="AP1350" s="94"/>
      <c r="AQ1350" s="94"/>
      <c r="AR1350" s="94"/>
      <c r="AS1350" s="207"/>
    </row>
    <row r="1351" spans="13:45" ht="12.75">
      <c r="M1351" s="104"/>
      <c r="O1351" s="206"/>
      <c r="P1351" s="94"/>
      <c r="Q1351" s="180"/>
      <c r="R1351" s="258"/>
      <c r="S1351" s="259"/>
      <c r="T1351" s="213"/>
      <c r="U1351" s="213"/>
      <c r="V1351" s="213"/>
      <c r="W1351" s="213"/>
      <c r="X1351" s="213"/>
      <c r="Y1351" s="213"/>
      <c r="Z1351" s="213"/>
      <c r="AA1351" s="213"/>
      <c r="AB1351" s="213"/>
      <c r="AC1351" s="207"/>
      <c r="AD1351"/>
      <c r="AE1351" s="206"/>
      <c r="AF1351" s="94"/>
      <c r="AG1351" s="94"/>
      <c r="AH1351" s="94"/>
      <c r="AI1351" s="94"/>
      <c r="AJ1351" s="94"/>
      <c r="AK1351" s="94"/>
      <c r="AL1351" s="94"/>
      <c r="AM1351" s="254"/>
      <c r="AN1351" s="254"/>
      <c r="AO1351" s="94"/>
      <c r="AP1351" s="94"/>
      <c r="AQ1351" s="94"/>
      <c r="AR1351" s="94"/>
      <c r="AS1351" s="207"/>
    </row>
    <row r="1352" spans="13:45" ht="12.75">
      <c r="M1352" s="104"/>
      <c r="O1352" s="206"/>
      <c r="P1352" s="94"/>
      <c r="Q1352" s="180"/>
      <c r="R1352" s="258"/>
      <c r="S1352" s="259"/>
      <c r="T1352" s="213"/>
      <c r="U1352" s="213"/>
      <c r="V1352" s="213"/>
      <c r="W1352" s="213"/>
      <c r="X1352" s="213"/>
      <c r="Y1352" s="213"/>
      <c r="Z1352" s="213"/>
      <c r="AA1352" s="213"/>
      <c r="AB1352" s="213"/>
      <c r="AC1352" s="207"/>
      <c r="AD1352"/>
      <c r="AE1352" s="206"/>
      <c r="AF1352" s="94"/>
      <c r="AG1352" s="94"/>
      <c r="AH1352" s="94"/>
      <c r="AI1352" s="94"/>
      <c r="AJ1352" s="94"/>
      <c r="AK1352" s="94"/>
      <c r="AL1352" s="94"/>
      <c r="AM1352" s="254"/>
      <c r="AN1352" s="254"/>
      <c r="AO1352" s="94"/>
      <c r="AP1352" s="94"/>
      <c r="AQ1352" s="94"/>
      <c r="AR1352" s="94"/>
      <c r="AS1352" s="207"/>
    </row>
    <row r="1353" spans="13:45" ht="12.75">
      <c r="M1353" s="104"/>
      <c r="O1353" s="206"/>
      <c r="P1353" s="94"/>
      <c r="Q1353" s="180"/>
      <c r="R1353" s="258"/>
      <c r="S1353" s="259"/>
      <c r="T1353" s="213"/>
      <c r="U1353" s="213"/>
      <c r="V1353" s="213"/>
      <c r="W1353" s="213"/>
      <c r="X1353" s="213"/>
      <c r="Y1353" s="213"/>
      <c r="Z1353" s="213"/>
      <c r="AA1353" s="213"/>
      <c r="AB1353" s="213"/>
      <c r="AC1353" s="207"/>
      <c r="AD1353"/>
      <c r="AE1353" s="206"/>
      <c r="AF1353" s="94"/>
      <c r="AG1353" s="94"/>
      <c r="AH1353" s="94"/>
      <c r="AI1353" s="94"/>
      <c r="AJ1353" s="94"/>
      <c r="AK1353" s="94"/>
      <c r="AL1353" s="94"/>
      <c r="AM1353" s="254"/>
      <c r="AN1353" s="254"/>
      <c r="AO1353" s="94"/>
      <c r="AP1353" s="94"/>
      <c r="AQ1353" s="94"/>
      <c r="AR1353" s="94"/>
      <c r="AS1353" s="207"/>
    </row>
    <row r="1354" spans="13:45" ht="12.75">
      <c r="M1354" s="104"/>
      <c r="O1354" s="206"/>
      <c r="P1354" s="94"/>
      <c r="Q1354" s="180"/>
      <c r="R1354" s="258"/>
      <c r="S1354" s="259"/>
      <c r="T1354" s="213"/>
      <c r="U1354" s="213"/>
      <c r="V1354" s="213"/>
      <c r="W1354" s="213"/>
      <c r="X1354" s="213"/>
      <c r="Y1354" s="213"/>
      <c r="Z1354" s="213"/>
      <c r="AA1354" s="213"/>
      <c r="AB1354" s="213"/>
      <c r="AC1354" s="207"/>
      <c r="AD1354"/>
      <c r="AE1354" s="206"/>
      <c r="AF1354" s="94"/>
      <c r="AG1354" s="94"/>
      <c r="AH1354" s="94"/>
      <c r="AI1354" s="94"/>
      <c r="AJ1354" s="94"/>
      <c r="AK1354" s="94"/>
      <c r="AL1354" s="94"/>
      <c r="AM1354" s="254"/>
      <c r="AN1354" s="254"/>
      <c r="AO1354" s="94"/>
      <c r="AP1354" s="94"/>
      <c r="AQ1354" s="94"/>
      <c r="AR1354" s="94"/>
      <c r="AS1354" s="207"/>
    </row>
    <row r="1355" spans="13:45" ht="12.75">
      <c r="M1355" s="104"/>
      <c r="O1355" s="206"/>
      <c r="P1355" s="94"/>
      <c r="Q1355" s="180"/>
      <c r="R1355" s="258"/>
      <c r="S1355" s="259"/>
      <c r="T1355" s="213"/>
      <c r="U1355" s="213"/>
      <c r="V1355" s="213"/>
      <c r="W1355" s="213"/>
      <c r="X1355" s="213"/>
      <c r="Y1355" s="213"/>
      <c r="Z1355" s="213"/>
      <c r="AA1355" s="213"/>
      <c r="AB1355" s="213"/>
      <c r="AC1355" s="207"/>
      <c r="AD1355"/>
      <c r="AE1355" s="206"/>
      <c r="AF1355" s="94"/>
      <c r="AG1355" s="94"/>
      <c r="AH1355" s="94"/>
      <c r="AI1355" s="94"/>
      <c r="AJ1355" s="94"/>
      <c r="AK1355" s="94"/>
      <c r="AL1355" s="94"/>
      <c r="AM1355" s="254"/>
      <c r="AN1355" s="254"/>
      <c r="AO1355" s="94"/>
      <c r="AP1355" s="94"/>
      <c r="AQ1355" s="94"/>
      <c r="AR1355" s="94"/>
      <c r="AS1355" s="207"/>
    </row>
    <row r="1356" spans="13:45" ht="12.75">
      <c r="M1356" s="104"/>
      <c r="O1356" s="206"/>
      <c r="P1356" s="94"/>
      <c r="Q1356" s="180"/>
      <c r="R1356" s="258"/>
      <c r="S1356" s="259"/>
      <c r="T1356" s="213"/>
      <c r="U1356" s="213"/>
      <c r="V1356" s="213"/>
      <c r="W1356" s="213"/>
      <c r="X1356" s="213"/>
      <c r="Y1356" s="213"/>
      <c r="Z1356" s="213"/>
      <c r="AA1356" s="213"/>
      <c r="AB1356" s="213"/>
      <c r="AC1356" s="207"/>
      <c r="AD1356"/>
      <c r="AE1356" s="206"/>
      <c r="AF1356" s="94"/>
      <c r="AG1356" s="94"/>
      <c r="AH1356" s="94"/>
      <c r="AI1356" s="94"/>
      <c r="AJ1356" s="94"/>
      <c r="AK1356" s="94"/>
      <c r="AL1356" s="94"/>
      <c r="AM1356" s="254"/>
      <c r="AN1356" s="254"/>
      <c r="AO1356" s="94"/>
      <c r="AP1356" s="94"/>
      <c r="AQ1356" s="94"/>
      <c r="AR1356" s="94"/>
      <c r="AS1356" s="207"/>
    </row>
    <row r="1357" spans="13:45" ht="12.75">
      <c r="M1357" s="104"/>
      <c r="O1357" s="206"/>
      <c r="P1357" s="94"/>
      <c r="Q1357" s="180"/>
      <c r="R1357" s="258"/>
      <c r="S1357" s="259"/>
      <c r="T1357" s="213"/>
      <c r="U1357" s="213"/>
      <c r="V1357" s="213"/>
      <c r="W1357" s="213"/>
      <c r="X1357" s="213"/>
      <c r="Y1357" s="213"/>
      <c r="Z1357" s="213"/>
      <c r="AA1357" s="213"/>
      <c r="AB1357" s="213"/>
      <c r="AC1357" s="207"/>
      <c r="AD1357"/>
      <c r="AE1357" s="206"/>
      <c r="AF1357" s="94"/>
      <c r="AG1357" s="94"/>
      <c r="AH1357" s="94"/>
      <c r="AI1357" s="94"/>
      <c r="AJ1357" s="94"/>
      <c r="AK1357" s="94"/>
      <c r="AL1357" s="94"/>
      <c r="AM1357" s="254"/>
      <c r="AN1357" s="254"/>
      <c r="AO1357" s="94"/>
      <c r="AP1357" s="94"/>
      <c r="AQ1357" s="94"/>
      <c r="AR1357" s="94"/>
      <c r="AS1357" s="207"/>
    </row>
    <row r="1358" spans="13:45" ht="12.75">
      <c r="M1358" s="104"/>
      <c r="O1358" s="206"/>
      <c r="P1358" s="94"/>
      <c r="Q1358" s="180"/>
      <c r="R1358" s="258"/>
      <c r="S1358" s="259"/>
      <c r="T1358" s="213"/>
      <c r="U1358" s="213"/>
      <c r="V1358" s="213"/>
      <c r="W1358" s="213"/>
      <c r="X1358" s="213"/>
      <c r="Y1358" s="213"/>
      <c r="Z1358" s="213"/>
      <c r="AA1358" s="213"/>
      <c r="AB1358" s="213"/>
      <c r="AC1358" s="207"/>
      <c r="AD1358"/>
      <c r="AE1358" s="206"/>
      <c r="AF1358" s="94"/>
      <c r="AG1358" s="94"/>
      <c r="AH1358" s="94"/>
      <c r="AI1358" s="94"/>
      <c r="AJ1358" s="94"/>
      <c r="AK1358" s="94"/>
      <c r="AL1358" s="94"/>
      <c r="AM1358" s="254"/>
      <c r="AN1358" s="254"/>
      <c r="AO1358" s="94"/>
      <c r="AP1358" s="94"/>
      <c r="AQ1358" s="94"/>
      <c r="AR1358" s="94"/>
      <c r="AS1358" s="207"/>
    </row>
    <row r="1359" spans="13:45" ht="12.75">
      <c r="M1359" s="104"/>
      <c r="O1359" s="206"/>
      <c r="P1359" s="94"/>
      <c r="Q1359" s="180"/>
      <c r="R1359" s="258"/>
      <c r="S1359" s="259"/>
      <c r="T1359" s="213"/>
      <c r="U1359" s="213"/>
      <c r="V1359" s="213"/>
      <c r="W1359" s="213"/>
      <c r="X1359" s="213"/>
      <c r="Y1359" s="213"/>
      <c r="Z1359" s="213"/>
      <c r="AA1359" s="213"/>
      <c r="AB1359" s="213"/>
      <c r="AC1359" s="207"/>
      <c r="AD1359"/>
      <c r="AE1359" s="206"/>
      <c r="AF1359" s="94"/>
      <c r="AG1359" s="94"/>
      <c r="AH1359" s="94"/>
      <c r="AI1359" s="94"/>
      <c r="AJ1359" s="94"/>
      <c r="AK1359" s="94"/>
      <c r="AL1359" s="94"/>
      <c r="AM1359" s="254"/>
      <c r="AN1359" s="254"/>
      <c r="AO1359" s="94"/>
      <c r="AP1359" s="94"/>
      <c r="AQ1359" s="94"/>
      <c r="AR1359" s="94"/>
      <c r="AS1359" s="207"/>
    </row>
    <row r="1360" spans="13:45" ht="12.75">
      <c r="M1360" s="104"/>
      <c r="O1360" s="206"/>
      <c r="P1360" s="94"/>
      <c r="Q1360" s="180"/>
      <c r="R1360" s="258"/>
      <c r="S1360" s="259"/>
      <c r="T1360" s="213"/>
      <c r="U1360" s="213"/>
      <c r="V1360" s="213"/>
      <c r="W1360" s="213"/>
      <c r="X1360" s="213"/>
      <c r="Y1360" s="213"/>
      <c r="Z1360" s="213"/>
      <c r="AA1360" s="213"/>
      <c r="AB1360" s="213"/>
      <c r="AC1360" s="207"/>
      <c r="AD1360"/>
      <c r="AE1360" s="206"/>
      <c r="AF1360" s="94"/>
      <c r="AG1360" s="94"/>
      <c r="AH1360" s="94"/>
      <c r="AI1360" s="94"/>
      <c r="AJ1360" s="94"/>
      <c r="AK1360" s="94"/>
      <c r="AL1360" s="94"/>
      <c r="AM1360" s="254"/>
      <c r="AN1360" s="254"/>
      <c r="AO1360" s="94"/>
      <c r="AP1360" s="94"/>
      <c r="AQ1360" s="94"/>
      <c r="AR1360" s="94"/>
      <c r="AS1360" s="207"/>
    </row>
    <row r="1361" spans="13:45" ht="12.75">
      <c r="M1361" s="104"/>
      <c r="O1361" s="206"/>
      <c r="P1361" s="94"/>
      <c r="Q1361" s="180"/>
      <c r="R1361" s="258"/>
      <c r="S1361" s="259"/>
      <c r="T1361" s="213"/>
      <c r="U1361" s="213"/>
      <c r="V1361" s="213"/>
      <c r="W1361" s="213"/>
      <c r="X1361" s="213"/>
      <c r="Y1361" s="213"/>
      <c r="Z1361" s="213"/>
      <c r="AA1361" s="213"/>
      <c r="AB1361" s="213"/>
      <c r="AC1361" s="207"/>
      <c r="AD1361"/>
      <c r="AE1361" s="206"/>
      <c r="AF1361" s="94"/>
      <c r="AG1361" s="94"/>
      <c r="AH1361" s="94"/>
      <c r="AI1361" s="94"/>
      <c r="AJ1361" s="94"/>
      <c r="AK1361" s="94"/>
      <c r="AL1361" s="94"/>
      <c r="AM1361" s="254"/>
      <c r="AN1361" s="254"/>
      <c r="AO1361" s="94"/>
      <c r="AP1361" s="94"/>
      <c r="AQ1361" s="94"/>
      <c r="AR1361" s="94"/>
      <c r="AS1361" s="207"/>
    </row>
    <row r="1362" spans="13:45" ht="12.75">
      <c r="M1362" s="104"/>
      <c r="O1362" s="206"/>
      <c r="P1362" s="94"/>
      <c r="Q1362" s="180"/>
      <c r="R1362" s="258"/>
      <c r="S1362" s="259"/>
      <c r="T1362" s="213"/>
      <c r="U1362" s="213"/>
      <c r="V1362" s="213"/>
      <c r="W1362" s="213"/>
      <c r="X1362" s="213"/>
      <c r="Y1362" s="213"/>
      <c r="Z1362" s="213"/>
      <c r="AA1362" s="213"/>
      <c r="AB1362" s="213"/>
      <c r="AC1362" s="207"/>
      <c r="AD1362"/>
      <c r="AE1362" s="206"/>
      <c r="AF1362" s="94"/>
      <c r="AG1362" s="94"/>
      <c r="AH1362" s="94"/>
      <c r="AI1362" s="94"/>
      <c r="AJ1362" s="94"/>
      <c r="AK1362" s="94"/>
      <c r="AL1362" s="94"/>
      <c r="AM1362" s="254"/>
      <c r="AN1362" s="254"/>
      <c r="AO1362" s="94"/>
      <c r="AP1362" s="94"/>
      <c r="AQ1362" s="94"/>
      <c r="AR1362" s="94"/>
      <c r="AS1362" s="207"/>
    </row>
    <row r="1363" spans="13:45" ht="12.75">
      <c r="M1363" s="104"/>
      <c r="O1363" s="206"/>
      <c r="P1363" s="94"/>
      <c r="Q1363" s="180"/>
      <c r="R1363" s="258"/>
      <c r="S1363" s="259"/>
      <c r="T1363" s="213"/>
      <c r="U1363" s="213"/>
      <c r="V1363" s="213"/>
      <c r="W1363" s="213"/>
      <c r="X1363" s="213"/>
      <c r="Y1363" s="213"/>
      <c r="Z1363" s="213"/>
      <c r="AA1363" s="213"/>
      <c r="AB1363" s="213"/>
      <c r="AC1363" s="207"/>
      <c r="AD1363"/>
      <c r="AE1363" s="206"/>
      <c r="AF1363" s="94"/>
      <c r="AG1363" s="94"/>
      <c r="AH1363" s="94"/>
      <c r="AI1363" s="94"/>
      <c r="AJ1363" s="94"/>
      <c r="AK1363" s="94"/>
      <c r="AL1363" s="94"/>
      <c r="AM1363" s="254"/>
      <c r="AN1363" s="254"/>
      <c r="AO1363" s="94"/>
      <c r="AP1363" s="94"/>
      <c r="AQ1363" s="94"/>
      <c r="AR1363" s="94"/>
      <c r="AS1363" s="207"/>
    </row>
    <row r="1364" spans="13:45" ht="12.75">
      <c r="M1364" s="104"/>
      <c r="O1364" s="206"/>
      <c r="P1364" s="94"/>
      <c r="Q1364" s="180"/>
      <c r="R1364" s="258"/>
      <c r="S1364" s="259"/>
      <c r="T1364" s="213"/>
      <c r="U1364" s="213"/>
      <c r="V1364" s="213"/>
      <c r="W1364" s="213"/>
      <c r="X1364" s="213"/>
      <c r="Y1364" s="213"/>
      <c r="Z1364" s="213"/>
      <c r="AA1364" s="213"/>
      <c r="AB1364" s="213"/>
      <c r="AC1364" s="207"/>
      <c r="AD1364"/>
      <c r="AE1364" s="206"/>
      <c r="AF1364" s="94"/>
      <c r="AG1364" s="94"/>
      <c r="AH1364" s="94"/>
      <c r="AI1364" s="94"/>
      <c r="AJ1364" s="94"/>
      <c r="AK1364" s="94"/>
      <c r="AL1364" s="94"/>
      <c r="AM1364" s="254"/>
      <c r="AN1364" s="254"/>
      <c r="AO1364" s="94"/>
      <c r="AP1364" s="94"/>
      <c r="AQ1364" s="94"/>
      <c r="AR1364" s="94"/>
      <c r="AS1364" s="207"/>
    </row>
    <row r="1365" spans="13:45" ht="12.75">
      <c r="M1365" s="104"/>
      <c r="O1365" s="206"/>
      <c r="P1365" s="94"/>
      <c r="Q1365" s="180"/>
      <c r="R1365" s="258"/>
      <c r="S1365" s="259"/>
      <c r="T1365" s="213"/>
      <c r="U1365" s="213"/>
      <c r="V1365" s="213"/>
      <c r="W1365" s="213"/>
      <c r="X1365" s="213"/>
      <c r="Y1365" s="213"/>
      <c r="Z1365" s="213"/>
      <c r="AA1365" s="213"/>
      <c r="AB1365" s="213"/>
      <c r="AC1365" s="207"/>
      <c r="AD1365"/>
      <c r="AE1365" s="206"/>
      <c r="AF1365" s="94"/>
      <c r="AG1365" s="94"/>
      <c r="AH1365" s="94"/>
      <c r="AI1365" s="94"/>
      <c r="AJ1365" s="94"/>
      <c r="AK1365" s="94"/>
      <c r="AL1365" s="94"/>
      <c r="AM1365" s="254"/>
      <c r="AN1365" s="254"/>
      <c r="AO1365" s="94"/>
      <c r="AP1365" s="94"/>
      <c r="AQ1365" s="94"/>
      <c r="AR1365" s="94"/>
      <c r="AS1365" s="207"/>
    </row>
    <row r="1366" spans="13:45" ht="12.75">
      <c r="M1366" s="104"/>
      <c r="O1366" s="206"/>
      <c r="P1366" s="94"/>
      <c r="Q1366" s="180"/>
      <c r="R1366" s="258"/>
      <c r="S1366" s="259"/>
      <c r="T1366" s="213"/>
      <c r="U1366" s="213"/>
      <c r="V1366" s="213"/>
      <c r="W1366" s="213"/>
      <c r="X1366" s="213"/>
      <c r="Y1366" s="213"/>
      <c r="Z1366" s="213"/>
      <c r="AA1366" s="213"/>
      <c r="AB1366" s="213"/>
      <c r="AC1366" s="207"/>
      <c r="AD1366"/>
      <c r="AE1366" s="206"/>
      <c r="AF1366" s="94"/>
      <c r="AG1366" s="94"/>
      <c r="AH1366" s="94"/>
      <c r="AI1366" s="94"/>
      <c r="AJ1366" s="94"/>
      <c r="AK1366" s="94"/>
      <c r="AL1366" s="94"/>
      <c r="AM1366" s="254"/>
      <c r="AN1366" s="254"/>
      <c r="AO1366" s="94"/>
      <c r="AP1366" s="94"/>
      <c r="AQ1366" s="94"/>
      <c r="AR1366" s="94"/>
      <c r="AS1366" s="207"/>
    </row>
    <row r="1367" spans="13:45" ht="12.75">
      <c r="M1367" s="104"/>
      <c r="O1367" s="206"/>
      <c r="P1367" s="94"/>
      <c r="Q1367" s="180"/>
      <c r="R1367" s="258"/>
      <c r="S1367" s="259"/>
      <c r="T1367" s="213"/>
      <c r="U1367" s="213"/>
      <c r="V1367" s="213"/>
      <c r="W1367" s="213"/>
      <c r="X1367" s="213"/>
      <c r="Y1367" s="213"/>
      <c r="Z1367" s="213"/>
      <c r="AA1367" s="213"/>
      <c r="AB1367" s="213"/>
      <c r="AC1367" s="207"/>
      <c r="AD1367"/>
      <c r="AE1367" s="206"/>
      <c r="AF1367" s="94"/>
      <c r="AG1367" s="94"/>
      <c r="AH1367" s="94"/>
      <c r="AI1367" s="94"/>
      <c r="AJ1367" s="94"/>
      <c r="AK1367" s="94"/>
      <c r="AL1367" s="94"/>
      <c r="AM1367" s="254"/>
      <c r="AN1367" s="254"/>
      <c r="AO1367" s="94"/>
      <c r="AP1367" s="94"/>
      <c r="AQ1367" s="94"/>
      <c r="AR1367" s="94"/>
      <c r="AS1367" s="207"/>
    </row>
    <row r="1368" spans="13:45" ht="12.75">
      <c r="M1368" s="104"/>
      <c r="O1368" s="206"/>
      <c r="P1368" s="94"/>
      <c r="Q1368" s="180"/>
      <c r="R1368" s="258"/>
      <c r="S1368" s="259"/>
      <c r="T1368" s="213"/>
      <c r="U1368" s="213"/>
      <c r="V1368" s="213"/>
      <c r="W1368" s="213"/>
      <c r="X1368" s="213"/>
      <c r="Y1368" s="213"/>
      <c r="Z1368" s="213"/>
      <c r="AA1368" s="213"/>
      <c r="AB1368" s="213"/>
      <c r="AC1368" s="207"/>
      <c r="AD1368"/>
      <c r="AE1368" s="206"/>
      <c r="AF1368" s="94"/>
      <c r="AG1368" s="94"/>
      <c r="AH1368" s="94"/>
      <c r="AI1368" s="94"/>
      <c r="AJ1368" s="94"/>
      <c r="AK1368" s="94"/>
      <c r="AL1368" s="94"/>
      <c r="AM1368" s="254"/>
      <c r="AN1368" s="254"/>
      <c r="AO1368" s="94"/>
      <c r="AP1368" s="94"/>
      <c r="AQ1368" s="94"/>
      <c r="AR1368" s="94"/>
      <c r="AS1368" s="207"/>
    </row>
    <row r="1369" spans="13:45" ht="12.75">
      <c r="M1369" s="104"/>
      <c r="O1369" s="206"/>
      <c r="P1369" s="94"/>
      <c r="Q1369" s="180"/>
      <c r="R1369" s="258"/>
      <c r="S1369" s="259"/>
      <c r="T1369" s="213"/>
      <c r="U1369" s="213"/>
      <c r="V1369" s="213"/>
      <c r="W1369" s="213"/>
      <c r="X1369" s="213"/>
      <c r="Y1369" s="213"/>
      <c r="Z1369" s="213"/>
      <c r="AA1369" s="213"/>
      <c r="AB1369" s="213"/>
      <c r="AC1369" s="207"/>
      <c r="AD1369"/>
      <c r="AE1369" s="206"/>
      <c r="AF1369" s="94"/>
      <c r="AG1369" s="94"/>
      <c r="AH1369" s="94"/>
      <c r="AI1369" s="94"/>
      <c r="AJ1369" s="94"/>
      <c r="AK1369" s="94"/>
      <c r="AL1369" s="94"/>
      <c r="AM1369" s="254"/>
      <c r="AN1369" s="254"/>
      <c r="AO1369" s="94"/>
      <c r="AP1369" s="94"/>
      <c r="AQ1369" s="94"/>
      <c r="AR1369" s="94"/>
      <c r="AS1369" s="207"/>
    </row>
    <row r="1370" spans="13:45" ht="12.75">
      <c r="M1370" s="104"/>
      <c r="O1370" s="206"/>
      <c r="P1370" s="94"/>
      <c r="Q1370" s="180"/>
      <c r="R1370" s="258"/>
      <c r="S1370" s="259"/>
      <c r="T1370" s="213"/>
      <c r="U1370" s="213"/>
      <c r="V1370" s="213"/>
      <c r="W1370" s="213"/>
      <c r="X1370" s="213"/>
      <c r="Y1370" s="213"/>
      <c r="Z1370" s="213"/>
      <c r="AA1370" s="213"/>
      <c r="AB1370" s="213"/>
      <c r="AC1370" s="207"/>
      <c r="AD1370"/>
      <c r="AE1370" s="206"/>
      <c r="AF1370" s="94"/>
      <c r="AG1370" s="94"/>
      <c r="AH1370" s="94"/>
      <c r="AI1370" s="94"/>
      <c r="AJ1370" s="94"/>
      <c r="AK1370" s="94"/>
      <c r="AL1370" s="94"/>
      <c r="AM1370" s="254"/>
      <c r="AN1370" s="254"/>
      <c r="AO1370" s="94"/>
      <c r="AP1370" s="94"/>
      <c r="AQ1370" s="94"/>
      <c r="AR1370" s="94"/>
      <c r="AS1370" s="207"/>
    </row>
    <row r="1371" spans="13:45" ht="12.75">
      <c r="M1371" s="104"/>
      <c r="O1371" s="206"/>
      <c r="P1371" s="94"/>
      <c r="Q1371" s="180"/>
      <c r="R1371" s="258"/>
      <c r="S1371" s="259"/>
      <c r="T1371" s="213"/>
      <c r="U1371" s="213"/>
      <c r="V1371" s="213"/>
      <c r="W1371" s="213"/>
      <c r="X1371" s="213"/>
      <c r="Y1371" s="213"/>
      <c r="Z1371" s="213"/>
      <c r="AA1371" s="213"/>
      <c r="AB1371" s="213"/>
      <c r="AC1371" s="207"/>
      <c r="AD1371"/>
      <c r="AE1371" s="206"/>
      <c r="AF1371" s="94"/>
      <c r="AG1371" s="94"/>
      <c r="AH1371" s="94"/>
      <c r="AI1371" s="94"/>
      <c r="AJ1371" s="94"/>
      <c r="AK1371" s="94"/>
      <c r="AL1371" s="94"/>
      <c r="AM1371" s="254"/>
      <c r="AN1371" s="254"/>
      <c r="AO1371" s="94"/>
      <c r="AP1371" s="94"/>
      <c r="AQ1371" s="94"/>
      <c r="AR1371" s="94"/>
      <c r="AS1371" s="207"/>
    </row>
    <row r="1372" spans="13:45" ht="12.75">
      <c r="M1372" s="104"/>
      <c r="O1372" s="206"/>
      <c r="P1372" s="94"/>
      <c r="Q1372" s="180"/>
      <c r="R1372" s="258"/>
      <c r="S1372" s="259"/>
      <c r="T1372" s="213"/>
      <c r="U1372" s="213"/>
      <c r="V1372" s="213"/>
      <c r="W1372" s="213"/>
      <c r="X1372" s="213"/>
      <c r="Y1372" s="213"/>
      <c r="Z1372" s="213"/>
      <c r="AA1372" s="213"/>
      <c r="AB1372" s="213"/>
      <c r="AC1372" s="207"/>
      <c r="AD1372"/>
      <c r="AE1372" s="206"/>
      <c r="AF1372" s="94"/>
      <c r="AG1372" s="94"/>
      <c r="AH1372" s="94"/>
      <c r="AI1372" s="94"/>
      <c r="AJ1372" s="94"/>
      <c r="AK1372" s="94"/>
      <c r="AL1372" s="94"/>
      <c r="AM1372" s="254"/>
      <c r="AN1372" s="254"/>
      <c r="AO1372" s="94"/>
      <c r="AP1372" s="94"/>
      <c r="AQ1372" s="94"/>
      <c r="AR1372" s="94"/>
      <c r="AS1372" s="207"/>
    </row>
    <row r="1373" spans="13:45" ht="12.75">
      <c r="M1373" s="104"/>
      <c r="O1373" s="206"/>
      <c r="P1373" s="94"/>
      <c r="Q1373" s="180"/>
      <c r="R1373" s="258"/>
      <c r="S1373" s="259"/>
      <c r="T1373" s="213"/>
      <c r="U1373" s="213"/>
      <c r="V1373" s="213"/>
      <c r="W1373" s="213"/>
      <c r="X1373" s="213"/>
      <c r="Y1373" s="213"/>
      <c r="Z1373" s="213"/>
      <c r="AA1373" s="213"/>
      <c r="AB1373" s="213"/>
      <c r="AC1373" s="207"/>
      <c r="AD1373"/>
      <c r="AE1373" s="206"/>
      <c r="AF1373" s="94"/>
      <c r="AG1373" s="94"/>
      <c r="AH1373" s="94"/>
      <c r="AI1373" s="94"/>
      <c r="AJ1373" s="94"/>
      <c r="AK1373" s="94"/>
      <c r="AL1373" s="94"/>
      <c r="AM1373" s="254"/>
      <c r="AN1373" s="254"/>
      <c r="AO1373" s="94"/>
      <c r="AP1373" s="94"/>
      <c r="AQ1373" s="94"/>
      <c r="AR1373" s="94"/>
      <c r="AS1373" s="207"/>
    </row>
    <row r="1374" spans="15:45" ht="12.75">
      <c r="O1374" s="208"/>
      <c r="P1374" s="55"/>
      <c r="Q1374" s="196"/>
      <c r="R1374" s="260"/>
      <c r="S1374" s="255"/>
      <c r="T1374" s="209"/>
      <c r="U1374" s="209"/>
      <c r="V1374" s="209"/>
      <c r="W1374" s="209"/>
      <c r="X1374" s="209"/>
      <c r="Y1374" s="209"/>
      <c r="Z1374" s="209"/>
      <c r="AA1374" s="209"/>
      <c r="AB1374" s="209"/>
      <c r="AC1374" s="210"/>
      <c r="AD1374"/>
      <c r="AE1374" s="208"/>
      <c r="AF1374" s="55"/>
      <c r="AG1374" s="55"/>
      <c r="AH1374" s="209"/>
      <c r="AI1374" s="209"/>
      <c r="AJ1374" s="209"/>
      <c r="AK1374" s="209"/>
      <c r="AL1374" s="209"/>
      <c r="AM1374" s="255"/>
      <c r="AN1374" s="255"/>
      <c r="AO1374" s="209"/>
      <c r="AP1374" s="209"/>
      <c r="AQ1374" s="209"/>
      <c r="AR1374" s="209"/>
      <c r="AS1374" s="210"/>
    </row>
    <row r="1375" spans="15:45" ht="12.75">
      <c r="O1375"/>
      <c r="P1375"/>
      <c r="Q1375" s="233"/>
      <c r="R1375" s="47"/>
      <c r="S1375" s="47"/>
      <c r="T1375" s="10"/>
      <c r="U1375"/>
      <c r="V1375" s="213"/>
      <c r="W1375" s="10"/>
      <c r="X1375" s="10"/>
      <c r="Y1375" s="96"/>
      <c r="Z1375"/>
      <c r="AA1375"/>
      <c r="AB1375" s="238"/>
      <c r="AC1375" s="42"/>
      <c r="AD1375"/>
      <c r="AE1375"/>
      <c r="AF1375"/>
      <c r="AG1375"/>
      <c r="AH1375"/>
      <c r="AI1375"/>
      <c r="AJ1375"/>
      <c r="AK1375"/>
      <c r="AL1375"/>
      <c r="AM1375" s="47"/>
      <c r="AN1375" s="47"/>
      <c r="AO1375"/>
      <c r="AP1375"/>
      <c r="AQ1375"/>
      <c r="AR1375"/>
      <c r="AS1375"/>
    </row>
    <row r="1376" spans="15:45" ht="12.75">
      <c r="O1376"/>
      <c r="P1376"/>
      <c r="Q1376" s="233"/>
      <c r="R1376" s="47"/>
      <c r="S1376" s="47"/>
      <c r="T1376" s="10"/>
      <c r="U1376"/>
      <c r="V1376" s="213"/>
      <c r="W1376" s="10"/>
      <c r="X1376" s="10"/>
      <c r="Y1376" s="96"/>
      <c r="Z1376"/>
      <c r="AA1376"/>
      <c r="AB1376" s="238"/>
      <c r="AC1376" s="42"/>
      <c r="AD1376"/>
      <c r="AE1376"/>
      <c r="AF1376"/>
      <c r="AG1376"/>
      <c r="AH1376"/>
      <c r="AI1376"/>
      <c r="AJ1376"/>
      <c r="AK1376"/>
      <c r="AL1376"/>
      <c r="AM1376" s="47"/>
      <c r="AN1376" s="47"/>
      <c r="AO1376"/>
      <c r="AP1376"/>
      <c r="AQ1376"/>
      <c r="AR1376"/>
      <c r="AS1376"/>
    </row>
    <row r="1377" spans="15:45" ht="12.75">
      <c r="O1377"/>
      <c r="P1377"/>
      <c r="Q1377" s="233"/>
      <c r="R1377" s="47"/>
      <c r="S1377" s="47"/>
      <c r="T1377" s="10"/>
      <c r="U1377"/>
      <c r="V1377" s="213"/>
      <c r="W1377" s="10"/>
      <c r="X1377" s="10"/>
      <c r="Y1377" s="96"/>
      <c r="Z1377"/>
      <c r="AA1377"/>
      <c r="AB1377" s="238"/>
      <c r="AC1377" s="42"/>
      <c r="AD1377"/>
      <c r="AE1377"/>
      <c r="AF1377"/>
      <c r="AG1377"/>
      <c r="AH1377" s="10"/>
      <c r="AI1377" s="10"/>
      <c r="AJ1377" s="10"/>
      <c r="AK1377" s="10"/>
      <c r="AL1377" s="10"/>
      <c r="AM1377" s="49"/>
      <c r="AN1377" s="49"/>
      <c r="AO1377" s="10"/>
      <c r="AP1377" s="10"/>
      <c r="AQ1377" s="10"/>
      <c r="AR1377" s="10"/>
      <c r="AS1377"/>
    </row>
    <row r="1378" spans="15:45" ht="12.75">
      <c r="O1378"/>
      <c r="P1378"/>
      <c r="Q1378" s="233"/>
      <c r="R1378" s="47"/>
      <c r="S1378" s="47"/>
      <c r="T1378" s="10"/>
      <c r="U1378"/>
      <c r="V1378" s="213"/>
      <c r="W1378" s="10"/>
      <c r="X1378" s="10"/>
      <c r="Y1378" s="96"/>
      <c r="Z1378"/>
      <c r="AA1378"/>
      <c r="AB1378" s="238"/>
      <c r="AC1378" s="42"/>
      <c r="AD1378"/>
      <c r="AE1378" s="208"/>
      <c r="AF1378" s="55"/>
      <c r="AG1378" s="196"/>
      <c r="AH1378" s="214"/>
      <c r="AI1378" s="209"/>
      <c r="AJ1378" s="209"/>
      <c r="AK1378" s="209"/>
      <c r="AL1378" s="209"/>
      <c r="AM1378" s="255"/>
      <c r="AN1378" s="255"/>
      <c r="AO1378" s="209"/>
      <c r="AP1378" s="209"/>
      <c r="AQ1378" s="209"/>
      <c r="AR1378" s="209"/>
      <c r="AS1378" s="210"/>
    </row>
    <row r="1379" spans="15:29" ht="12.75">
      <c r="O1379"/>
      <c r="P1379"/>
      <c r="Q1379" s="233"/>
      <c r="R1379" s="47"/>
      <c r="S1379" s="47"/>
      <c r="T1379" s="10"/>
      <c r="U1379"/>
      <c r="V1379" s="213"/>
      <c r="W1379" s="10"/>
      <c r="X1379" s="10"/>
      <c r="Y1379" s="96"/>
      <c r="Z1379"/>
      <c r="AA1379"/>
      <c r="AB1379" s="238"/>
      <c r="AC1379" s="42"/>
    </row>
    <row r="1380" spans="15:29" ht="12.75">
      <c r="O1380"/>
      <c r="P1380"/>
      <c r="Q1380" s="233"/>
      <c r="R1380" s="47"/>
      <c r="S1380" s="47"/>
      <c r="T1380" s="10"/>
      <c r="U1380"/>
      <c r="V1380" s="213"/>
      <c r="W1380" s="10"/>
      <c r="X1380" s="10"/>
      <c r="Y1380" s="96"/>
      <c r="Z1380"/>
      <c r="AA1380"/>
      <c r="AB1380" s="238"/>
      <c r="AC1380" s="42"/>
    </row>
    <row r="1381" spans="15:29" ht="12.75">
      <c r="O1381"/>
      <c r="P1381"/>
      <c r="Q1381" s="233"/>
      <c r="R1381" s="47"/>
      <c r="S1381" s="47"/>
      <c r="T1381" s="10"/>
      <c r="U1381"/>
      <c r="V1381" s="10"/>
      <c r="W1381" s="10"/>
      <c r="X1381" s="10"/>
      <c r="Y1381" s="96"/>
      <c r="Z1381"/>
      <c r="AA1381"/>
      <c r="AB1381" s="238"/>
      <c r="AC1381" s="42"/>
    </row>
    <row r="1382" spans="15:29" ht="12.75">
      <c r="O1382"/>
      <c r="P1382"/>
      <c r="Q1382" s="233"/>
      <c r="R1382" s="47"/>
      <c r="S1382" s="47"/>
      <c r="T1382" s="10"/>
      <c r="U1382"/>
      <c r="V1382" s="10"/>
      <c r="W1382" s="10"/>
      <c r="X1382" s="10"/>
      <c r="Y1382" s="96"/>
      <c r="Z1382"/>
      <c r="AA1382"/>
      <c r="AB1382" s="238"/>
      <c r="AC1382" s="42"/>
    </row>
    <row r="1383" spans="15:29" ht="12.75">
      <c r="O1383"/>
      <c r="P1383"/>
      <c r="Q1383" s="233"/>
      <c r="R1383" s="47"/>
      <c r="S1383" s="47"/>
      <c r="T1383" s="10"/>
      <c r="U1383"/>
      <c r="V1383" s="213"/>
      <c r="W1383" s="10"/>
      <c r="X1383" s="10"/>
      <c r="Y1383" s="96"/>
      <c r="Z1383"/>
      <c r="AA1383"/>
      <c r="AB1383" s="42"/>
      <c r="AC1383" s="42"/>
    </row>
    <row r="1384" spans="15:29" ht="12.75">
      <c r="O1384"/>
      <c r="P1384"/>
      <c r="Q1384" s="233"/>
      <c r="R1384" s="47"/>
      <c r="S1384" s="47"/>
      <c r="T1384" s="10"/>
      <c r="U1384"/>
      <c r="V1384" s="213"/>
      <c r="W1384" s="10"/>
      <c r="X1384" s="10"/>
      <c r="Y1384" s="96"/>
      <c r="Z1384"/>
      <c r="AA1384"/>
      <c r="AB1384" s="42"/>
      <c r="AC1384" s="42"/>
    </row>
    <row r="1385" spans="15:29" ht="12.75">
      <c r="O1385"/>
      <c r="P1385"/>
      <c r="Q1385" s="233"/>
      <c r="R1385" s="47"/>
      <c r="S1385" s="47"/>
      <c r="T1385" s="10"/>
      <c r="U1385"/>
      <c r="V1385" s="213"/>
      <c r="W1385" s="10"/>
      <c r="X1385" s="10"/>
      <c r="Y1385" s="96"/>
      <c r="Z1385"/>
      <c r="AA1385"/>
      <c r="AB1385" s="42"/>
      <c r="AC1385" s="42"/>
    </row>
    <row r="1386" spans="15:29" ht="12.75">
      <c r="O1386"/>
      <c r="P1386"/>
      <c r="Q1386" s="233"/>
      <c r="R1386" s="47"/>
      <c r="S1386" s="47"/>
      <c r="T1386" s="10"/>
      <c r="U1386"/>
      <c r="V1386" s="213"/>
      <c r="W1386" s="10"/>
      <c r="X1386" s="10"/>
      <c r="Y1386" s="96"/>
      <c r="Z1386"/>
      <c r="AA1386"/>
      <c r="AB1386" s="42"/>
      <c r="AC1386" s="42"/>
    </row>
    <row r="1387" spans="15:29" ht="12.75">
      <c r="O1387"/>
      <c r="P1387"/>
      <c r="Q1387" s="233"/>
      <c r="R1387" s="47"/>
      <c r="S1387" s="47"/>
      <c r="T1387" s="10"/>
      <c r="U1387"/>
      <c r="V1387" s="213"/>
      <c r="W1387" s="10"/>
      <c r="X1387" s="10"/>
      <c r="Y1387" s="96"/>
      <c r="Z1387"/>
      <c r="AA1387"/>
      <c r="AB1387" s="42"/>
      <c r="AC1387" s="42"/>
    </row>
    <row r="1388" spans="15:29" ht="12.75">
      <c r="O1388"/>
      <c r="P1388"/>
      <c r="Q1388" s="233"/>
      <c r="R1388" s="47"/>
      <c r="S1388" s="47"/>
      <c r="T1388" s="10"/>
      <c r="U1388"/>
      <c r="V1388" s="213"/>
      <c r="W1388" s="10"/>
      <c r="X1388" s="10"/>
      <c r="Y1388" s="96"/>
      <c r="Z1388"/>
      <c r="AA1388"/>
      <c r="AB1388" s="42"/>
      <c r="AC1388" s="42"/>
    </row>
    <row r="1389" spans="15:29" ht="12.75">
      <c r="O1389"/>
      <c r="P1389"/>
      <c r="Q1389" s="233"/>
      <c r="R1389" s="47"/>
      <c r="S1389" s="47"/>
      <c r="T1389" s="10"/>
      <c r="U1389"/>
      <c r="V1389" s="213"/>
      <c r="W1389" s="10"/>
      <c r="X1389" s="10"/>
      <c r="Y1389" s="96"/>
      <c r="Z1389"/>
      <c r="AA1389"/>
      <c r="AB1389" s="42"/>
      <c r="AC1389" s="42"/>
    </row>
    <row r="1390" spans="15:29" ht="12.75">
      <c r="O1390"/>
      <c r="P1390"/>
      <c r="Q1390" s="233"/>
      <c r="R1390" s="47"/>
      <c r="S1390" s="47"/>
      <c r="T1390" s="10"/>
      <c r="U1390"/>
      <c r="V1390" s="213"/>
      <c r="W1390" s="10"/>
      <c r="X1390" s="10"/>
      <c r="Y1390" s="96"/>
      <c r="Z1390"/>
      <c r="AA1390"/>
      <c r="AB1390" s="42"/>
      <c r="AC1390" s="42"/>
    </row>
    <row r="1391" spans="15:29" ht="12.75">
      <c r="O1391"/>
      <c r="P1391"/>
      <c r="Q1391" s="233"/>
      <c r="R1391" s="47"/>
      <c r="S1391" s="47"/>
      <c r="T1391" s="10"/>
      <c r="U1391"/>
      <c r="V1391" s="213"/>
      <c r="W1391" s="10"/>
      <c r="X1391" s="10"/>
      <c r="Y1391" s="96"/>
      <c r="Z1391"/>
      <c r="AA1391"/>
      <c r="AB1391" s="42"/>
      <c r="AC1391" s="42"/>
    </row>
    <row r="1392" spans="15:29" ht="12.75">
      <c r="O1392"/>
      <c r="P1392"/>
      <c r="Q1392" s="233"/>
      <c r="R1392" s="47"/>
      <c r="S1392" s="47"/>
      <c r="T1392" s="10"/>
      <c r="U1392"/>
      <c r="V1392" s="213"/>
      <c r="W1392" s="10"/>
      <c r="X1392" s="10"/>
      <c r="Y1392" s="96"/>
      <c r="Z1392"/>
      <c r="AA1392"/>
      <c r="AB1392" s="42"/>
      <c r="AC1392" s="42"/>
    </row>
    <row r="1393" spans="15:29" ht="12.75">
      <c r="O1393"/>
      <c r="P1393"/>
      <c r="Q1393" s="233"/>
      <c r="R1393" s="47"/>
      <c r="S1393" s="47"/>
      <c r="T1393" s="10"/>
      <c r="U1393"/>
      <c r="V1393" s="213"/>
      <c r="W1393" s="10"/>
      <c r="X1393" s="10"/>
      <c r="Y1393" s="96"/>
      <c r="Z1393"/>
      <c r="AA1393"/>
      <c r="AB1393" s="42"/>
      <c r="AC1393" s="42"/>
    </row>
    <row r="1394" spans="15:29" ht="12.75">
      <c r="O1394"/>
      <c r="P1394"/>
      <c r="Q1394" s="233"/>
      <c r="R1394" s="47"/>
      <c r="S1394" s="47"/>
      <c r="T1394" s="10"/>
      <c r="U1394"/>
      <c r="V1394" s="213"/>
      <c r="W1394" s="10"/>
      <c r="X1394" s="10"/>
      <c r="Y1394" s="96"/>
      <c r="Z1394"/>
      <c r="AA1394"/>
      <c r="AB1394" s="42"/>
      <c r="AC1394" s="42"/>
    </row>
    <row r="1395" spans="15:29" ht="12.75">
      <c r="O1395"/>
      <c r="P1395"/>
      <c r="Q1395" s="233"/>
      <c r="R1395" s="47"/>
      <c r="S1395" s="47"/>
      <c r="T1395" s="10"/>
      <c r="U1395"/>
      <c r="V1395" s="213"/>
      <c r="W1395" s="10"/>
      <c r="X1395" s="10"/>
      <c r="Y1395" s="96"/>
      <c r="Z1395"/>
      <c r="AA1395"/>
      <c r="AB1395" s="42"/>
      <c r="AC1395" s="42"/>
    </row>
    <row r="1396" spans="15:29" ht="12.75">
      <c r="O1396"/>
      <c r="P1396"/>
      <c r="Q1396" s="233"/>
      <c r="R1396" s="47"/>
      <c r="S1396" s="47"/>
      <c r="T1396" s="10"/>
      <c r="U1396"/>
      <c r="V1396" s="213"/>
      <c r="W1396" s="10"/>
      <c r="X1396" s="10"/>
      <c r="Y1396" s="96"/>
      <c r="Z1396"/>
      <c r="AA1396"/>
      <c r="AB1396" s="42"/>
      <c r="AC1396" s="42"/>
    </row>
    <row r="1397" spans="15:29" ht="12.75">
      <c r="O1397"/>
      <c r="P1397"/>
      <c r="Q1397" s="233"/>
      <c r="R1397" s="47"/>
      <c r="S1397" s="47"/>
      <c r="T1397" s="10"/>
      <c r="U1397"/>
      <c r="V1397" s="213"/>
      <c r="W1397" s="10"/>
      <c r="X1397" s="10"/>
      <c r="Y1397" s="96"/>
      <c r="Z1397"/>
      <c r="AA1397"/>
      <c r="AB1397" s="42"/>
      <c r="AC1397" s="42"/>
    </row>
    <row r="1398" spans="15:29" ht="12.75">
      <c r="O1398"/>
      <c r="P1398"/>
      <c r="Q1398" s="233"/>
      <c r="R1398" s="47"/>
      <c r="S1398" s="47"/>
      <c r="T1398" s="10"/>
      <c r="U1398"/>
      <c r="V1398" s="10"/>
      <c r="W1398" s="10"/>
      <c r="X1398" s="10"/>
      <c r="Y1398" s="96"/>
      <c r="Z1398"/>
      <c r="AA1398"/>
      <c r="AB1398" s="42"/>
      <c r="AC1398" s="42"/>
    </row>
    <row r="1399" spans="15:29" ht="12.75">
      <c r="O1399"/>
      <c r="P1399"/>
      <c r="Q1399" s="233"/>
      <c r="R1399" s="47"/>
      <c r="S1399" s="47"/>
      <c r="T1399" s="10"/>
      <c r="U1399"/>
      <c r="V1399" s="10"/>
      <c r="W1399" s="10"/>
      <c r="X1399" s="10"/>
      <c r="Y1399" s="96"/>
      <c r="Z1399"/>
      <c r="AA1399"/>
      <c r="AB1399" s="42"/>
      <c r="AC1399" s="42"/>
    </row>
    <row r="1400" spans="15:29" ht="12.75">
      <c r="O1400"/>
      <c r="P1400"/>
      <c r="Q1400" s="233"/>
      <c r="R1400" s="47"/>
      <c r="S1400" s="47"/>
      <c r="T1400" s="10"/>
      <c r="U1400"/>
      <c r="V1400" s="10"/>
      <c r="W1400" s="10"/>
      <c r="X1400" s="10"/>
      <c r="Y1400" s="96"/>
      <c r="Z1400"/>
      <c r="AA1400"/>
      <c r="AB1400" s="42"/>
      <c r="AC1400" s="42"/>
    </row>
    <row r="1401" spans="15:29" ht="12.75">
      <c r="O1401"/>
      <c r="P1401"/>
      <c r="Q1401" s="233"/>
      <c r="R1401" s="47"/>
      <c r="S1401" s="47"/>
      <c r="T1401" s="10"/>
      <c r="U1401"/>
      <c r="V1401" s="10"/>
      <c r="W1401" s="10"/>
      <c r="X1401" s="10"/>
      <c r="Y1401" s="96"/>
      <c r="Z1401"/>
      <c r="AA1401"/>
      <c r="AB1401" s="42"/>
      <c r="AC1401" s="42"/>
    </row>
    <row r="1402" spans="15:29" ht="12.75">
      <c r="O1402"/>
      <c r="P1402"/>
      <c r="Q1402" s="233"/>
      <c r="R1402" s="47"/>
      <c r="S1402" s="47"/>
      <c r="T1402" s="10"/>
      <c r="U1402"/>
      <c r="V1402" s="10"/>
      <c r="W1402" s="10"/>
      <c r="X1402" s="10"/>
      <c r="Y1402" s="96"/>
      <c r="Z1402"/>
      <c r="AA1402"/>
      <c r="AB1402" s="42"/>
      <c r="AC1402" s="42"/>
    </row>
    <row r="1403" spans="15:29" ht="12.75">
      <c r="O1403"/>
      <c r="P1403"/>
      <c r="Q1403" s="233"/>
      <c r="R1403" s="47"/>
      <c r="S1403" s="47"/>
      <c r="T1403" s="10"/>
      <c r="U1403"/>
      <c r="V1403" s="213"/>
      <c r="W1403" s="10"/>
      <c r="X1403" s="10"/>
      <c r="Y1403" s="96"/>
      <c r="Z1403"/>
      <c r="AA1403"/>
      <c r="AB1403" s="42"/>
      <c r="AC1403" s="42"/>
    </row>
    <row r="1404" spans="15:29" ht="12.75">
      <c r="O1404"/>
      <c r="P1404"/>
      <c r="Q1404" s="233"/>
      <c r="R1404" s="47"/>
      <c r="S1404" s="47"/>
      <c r="T1404" s="10"/>
      <c r="U1404"/>
      <c r="V1404" s="213"/>
      <c r="W1404" s="10"/>
      <c r="X1404" s="10"/>
      <c r="Y1404" s="96"/>
      <c r="Z1404"/>
      <c r="AA1404"/>
      <c r="AB1404" s="42"/>
      <c r="AC1404" s="42"/>
    </row>
    <row r="1405" spans="15:29" ht="12.75">
      <c r="O1405"/>
      <c r="P1405"/>
      <c r="Q1405" s="233"/>
      <c r="R1405" s="47"/>
      <c r="S1405" s="47"/>
      <c r="T1405" s="10"/>
      <c r="U1405"/>
      <c r="V1405" s="213"/>
      <c r="W1405" s="10"/>
      <c r="X1405" s="10"/>
      <c r="Y1405" s="96"/>
      <c r="Z1405"/>
      <c r="AA1405"/>
      <c r="AB1405" s="42"/>
      <c r="AC1405" s="42"/>
    </row>
    <row r="1406" spans="15:29" ht="12.75">
      <c r="O1406"/>
      <c r="P1406"/>
      <c r="Q1406" s="233"/>
      <c r="R1406" s="47"/>
      <c r="S1406" s="47"/>
      <c r="T1406" s="10"/>
      <c r="U1406"/>
      <c r="V1406" s="213"/>
      <c r="W1406" s="10"/>
      <c r="X1406" s="10"/>
      <c r="Y1406" s="96"/>
      <c r="Z1406"/>
      <c r="AA1406"/>
      <c r="AB1406" s="42"/>
      <c r="AC1406" s="42"/>
    </row>
    <row r="1407" spans="15:29" ht="12.75">
      <c r="O1407"/>
      <c r="P1407"/>
      <c r="Q1407" s="233"/>
      <c r="R1407" s="47"/>
      <c r="S1407" s="47"/>
      <c r="T1407" s="10"/>
      <c r="U1407"/>
      <c r="V1407" s="213"/>
      <c r="W1407" s="10"/>
      <c r="X1407" s="10"/>
      <c r="Y1407" s="96"/>
      <c r="Z1407"/>
      <c r="AA1407"/>
      <c r="AB1407" s="42"/>
      <c r="AC1407" s="42"/>
    </row>
    <row r="1408" spans="15:29" ht="12.75">
      <c r="O1408"/>
      <c r="P1408"/>
      <c r="Q1408" s="233"/>
      <c r="R1408" s="47"/>
      <c r="S1408" s="47"/>
      <c r="T1408" s="10"/>
      <c r="U1408"/>
      <c r="V1408" s="213"/>
      <c r="W1408" s="10"/>
      <c r="X1408" s="10"/>
      <c r="Y1408" s="96"/>
      <c r="Z1408"/>
      <c r="AA1408"/>
      <c r="AB1408" s="42"/>
      <c r="AC1408" s="42"/>
    </row>
    <row r="1409" spans="15:29" ht="12.75">
      <c r="O1409"/>
      <c r="P1409"/>
      <c r="Q1409" s="233"/>
      <c r="R1409" s="47"/>
      <c r="S1409" s="47"/>
      <c r="T1409" s="10"/>
      <c r="U1409"/>
      <c r="V1409" s="213"/>
      <c r="W1409" s="10"/>
      <c r="X1409" s="10"/>
      <c r="Y1409" s="96"/>
      <c r="Z1409"/>
      <c r="AA1409"/>
      <c r="AB1409" s="42"/>
      <c r="AC1409" s="42"/>
    </row>
    <row r="1410" spans="15:29" ht="12.75">
      <c r="O1410"/>
      <c r="P1410"/>
      <c r="Q1410" s="233"/>
      <c r="R1410" s="47"/>
      <c r="S1410" s="47"/>
      <c r="T1410" s="10"/>
      <c r="U1410"/>
      <c r="V1410" s="213"/>
      <c r="W1410" s="10"/>
      <c r="X1410" s="10"/>
      <c r="Y1410" s="96"/>
      <c r="Z1410"/>
      <c r="AA1410"/>
      <c r="AB1410" s="42"/>
      <c r="AC1410" s="42"/>
    </row>
    <row r="1411" spans="15:29" ht="12.75">
      <c r="O1411"/>
      <c r="P1411"/>
      <c r="Q1411" s="233"/>
      <c r="R1411" s="47"/>
      <c r="S1411" s="47"/>
      <c r="T1411" s="10"/>
      <c r="U1411"/>
      <c r="V1411" s="213"/>
      <c r="W1411" s="10"/>
      <c r="X1411" s="10"/>
      <c r="Y1411" s="96"/>
      <c r="Z1411"/>
      <c r="AA1411"/>
      <c r="AB1411" s="42"/>
      <c r="AC1411" s="42"/>
    </row>
    <row r="1412" spans="15:29" ht="12.75">
      <c r="O1412"/>
      <c r="P1412"/>
      <c r="Q1412" s="233"/>
      <c r="R1412" s="47"/>
      <c r="S1412" s="47"/>
      <c r="T1412" s="10"/>
      <c r="U1412"/>
      <c r="V1412" s="213"/>
      <c r="W1412" s="10"/>
      <c r="X1412" s="10"/>
      <c r="Y1412" s="96"/>
      <c r="Z1412"/>
      <c r="AA1412"/>
      <c r="AB1412" s="42"/>
      <c r="AC1412" s="42"/>
    </row>
    <row r="1413" spans="15:29" ht="12.75">
      <c r="O1413"/>
      <c r="P1413"/>
      <c r="Q1413" s="233"/>
      <c r="R1413" s="47"/>
      <c r="S1413" s="47"/>
      <c r="T1413" s="10"/>
      <c r="U1413"/>
      <c r="V1413" s="213"/>
      <c r="W1413" s="10"/>
      <c r="X1413" s="10"/>
      <c r="Y1413" s="96"/>
      <c r="Z1413"/>
      <c r="AA1413"/>
      <c r="AB1413" s="42"/>
      <c r="AC1413" s="42"/>
    </row>
    <row r="1414" spans="15:29" ht="12.75">
      <c r="O1414"/>
      <c r="P1414"/>
      <c r="Q1414" s="233"/>
      <c r="R1414" s="47"/>
      <c r="S1414" s="47"/>
      <c r="T1414" s="10"/>
      <c r="U1414"/>
      <c r="V1414" s="213"/>
      <c r="W1414" s="10"/>
      <c r="X1414" s="10"/>
      <c r="Y1414" s="96"/>
      <c r="Z1414"/>
      <c r="AA1414"/>
      <c r="AB1414" s="42"/>
      <c r="AC1414" s="42"/>
    </row>
    <row r="1415" spans="15:29" ht="12.75">
      <c r="O1415"/>
      <c r="P1415"/>
      <c r="Q1415" s="233"/>
      <c r="R1415" s="47"/>
      <c r="S1415" s="47"/>
      <c r="T1415" s="10"/>
      <c r="U1415"/>
      <c r="V1415" s="213"/>
      <c r="W1415" s="10"/>
      <c r="X1415" s="10"/>
      <c r="Y1415" s="96"/>
      <c r="Z1415"/>
      <c r="AA1415"/>
      <c r="AB1415" s="42"/>
      <c r="AC1415" s="42"/>
    </row>
    <row r="1416" spans="15:29" ht="12.75">
      <c r="O1416"/>
      <c r="P1416"/>
      <c r="Q1416" s="233"/>
      <c r="R1416" s="47"/>
      <c r="S1416" s="47"/>
      <c r="T1416" s="10"/>
      <c r="U1416"/>
      <c r="V1416" s="213"/>
      <c r="W1416" s="10"/>
      <c r="X1416" s="10"/>
      <c r="Y1416" s="96"/>
      <c r="Z1416"/>
      <c r="AA1416"/>
      <c r="AB1416" s="42"/>
      <c r="AC1416" s="42"/>
    </row>
    <row r="1417" spans="15:29" ht="12.75">
      <c r="O1417"/>
      <c r="P1417"/>
      <c r="Q1417" s="233"/>
      <c r="R1417" s="47"/>
      <c r="S1417" s="47"/>
      <c r="T1417" s="10"/>
      <c r="U1417"/>
      <c r="V1417" s="213"/>
      <c r="W1417" s="10"/>
      <c r="X1417" s="10"/>
      <c r="Y1417" s="96"/>
      <c r="Z1417"/>
      <c r="AA1417"/>
      <c r="AB1417" s="42"/>
      <c r="AC1417" s="42"/>
    </row>
    <row r="1418" spans="15:29" ht="12.75">
      <c r="O1418"/>
      <c r="P1418"/>
      <c r="Q1418" s="233"/>
      <c r="R1418" s="47"/>
      <c r="S1418" s="47"/>
      <c r="T1418" s="10"/>
      <c r="U1418"/>
      <c r="V1418" s="213"/>
      <c r="W1418" s="10"/>
      <c r="X1418" s="10"/>
      <c r="Y1418" s="96"/>
      <c r="Z1418"/>
      <c r="AA1418"/>
      <c r="AB1418" s="42"/>
      <c r="AC1418" s="42"/>
    </row>
    <row r="1419" spans="15:29" ht="12.75">
      <c r="O1419"/>
      <c r="P1419"/>
      <c r="Q1419" s="233"/>
      <c r="R1419" s="47"/>
      <c r="S1419" s="47"/>
      <c r="T1419" s="10"/>
      <c r="U1419"/>
      <c r="V1419" s="213"/>
      <c r="W1419" s="10"/>
      <c r="X1419" s="10"/>
      <c r="Y1419" s="96"/>
      <c r="Z1419"/>
      <c r="AA1419"/>
      <c r="AB1419" s="42"/>
      <c r="AC1419" s="42"/>
    </row>
    <row r="1420" spans="15:29" ht="12.75">
      <c r="O1420"/>
      <c r="P1420"/>
      <c r="Q1420" s="233"/>
      <c r="R1420" s="47"/>
      <c r="S1420" s="47"/>
      <c r="T1420" s="10"/>
      <c r="U1420"/>
      <c r="V1420" s="213"/>
      <c r="W1420" s="10"/>
      <c r="X1420" s="10"/>
      <c r="Y1420" s="96"/>
      <c r="Z1420"/>
      <c r="AA1420"/>
      <c r="AB1420" s="42"/>
      <c r="AC1420" s="42"/>
    </row>
    <row r="1421" spans="15:29" ht="12.75">
      <c r="O1421"/>
      <c r="P1421"/>
      <c r="Q1421" s="233"/>
      <c r="R1421" s="47"/>
      <c r="S1421" s="47"/>
      <c r="T1421" s="10"/>
      <c r="U1421"/>
      <c r="V1421" s="213"/>
      <c r="W1421" s="10"/>
      <c r="X1421" s="10"/>
      <c r="Y1421" s="96"/>
      <c r="Z1421"/>
      <c r="AA1421"/>
      <c r="AB1421" s="42"/>
      <c r="AC1421" s="42"/>
    </row>
    <row r="1422" spans="15:29" ht="12.75">
      <c r="O1422"/>
      <c r="P1422"/>
      <c r="Q1422" s="233"/>
      <c r="R1422" s="47"/>
      <c r="S1422" s="47"/>
      <c r="T1422" s="10"/>
      <c r="U1422"/>
      <c r="V1422" s="213"/>
      <c r="W1422" s="10"/>
      <c r="X1422" s="10"/>
      <c r="Y1422" s="96"/>
      <c r="Z1422"/>
      <c r="AA1422"/>
      <c r="AB1422" s="42"/>
      <c r="AC1422" s="42"/>
    </row>
    <row r="1423" spans="15:29" ht="12.75">
      <c r="O1423"/>
      <c r="P1423"/>
      <c r="Q1423" s="233"/>
      <c r="R1423" s="47"/>
      <c r="S1423" s="47"/>
      <c r="T1423" s="10"/>
      <c r="U1423"/>
      <c r="V1423" s="213"/>
      <c r="W1423" s="10"/>
      <c r="X1423" s="10"/>
      <c r="Y1423" s="96"/>
      <c r="Z1423"/>
      <c r="AA1423"/>
      <c r="AB1423" s="42"/>
      <c r="AC1423" s="42"/>
    </row>
    <row r="1424" spans="15:29" ht="12.75">
      <c r="O1424"/>
      <c r="P1424"/>
      <c r="Q1424" s="233"/>
      <c r="R1424" s="47"/>
      <c r="S1424" s="47"/>
      <c r="T1424" s="10"/>
      <c r="U1424"/>
      <c r="V1424" s="10"/>
      <c r="W1424" s="10"/>
      <c r="X1424" s="10"/>
      <c r="Y1424" s="96"/>
      <c r="Z1424"/>
      <c r="AA1424"/>
      <c r="AB1424" s="42"/>
      <c r="AC1424" s="42"/>
    </row>
    <row r="1425" spans="15:29" ht="12.75">
      <c r="O1425"/>
      <c r="P1425"/>
      <c r="Q1425" s="233"/>
      <c r="R1425" s="47"/>
      <c r="S1425" s="47"/>
      <c r="T1425" s="10"/>
      <c r="U1425"/>
      <c r="V1425" s="10"/>
      <c r="W1425" s="10"/>
      <c r="X1425" s="10"/>
      <c r="Y1425" s="96"/>
      <c r="Z1425"/>
      <c r="AA1425"/>
      <c r="AB1425" s="42"/>
      <c r="AC1425" s="42"/>
    </row>
    <row r="1426" spans="15:29" ht="12.75">
      <c r="O1426"/>
      <c r="P1426"/>
      <c r="Q1426" s="233"/>
      <c r="R1426" s="47"/>
      <c r="S1426" s="47"/>
      <c r="T1426" s="10"/>
      <c r="U1426"/>
      <c r="V1426" s="10"/>
      <c r="W1426" s="10"/>
      <c r="X1426" s="10"/>
      <c r="Y1426" s="96"/>
      <c r="Z1426"/>
      <c r="AA1426"/>
      <c r="AB1426" s="42"/>
      <c r="AC1426" s="42"/>
    </row>
    <row r="1427" spans="15:29" ht="12.75">
      <c r="O1427"/>
      <c r="P1427"/>
      <c r="Q1427" s="233"/>
      <c r="R1427" s="47"/>
      <c r="S1427" s="47"/>
      <c r="T1427" s="10"/>
      <c r="U1427"/>
      <c r="V1427" s="10"/>
      <c r="W1427" s="10"/>
      <c r="X1427" s="10"/>
      <c r="Y1427" s="96"/>
      <c r="Z1427"/>
      <c r="AA1427"/>
      <c r="AB1427" s="42"/>
      <c r="AC1427" s="42"/>
    </row>
    <row r="1428" spans="15:29" ht="12.75">
      <c r="O1428"/>
      <c r="P1428"/>
      <c r="Q1428" s="233"/>
      <c r="R1428" s="47"/>
      <c r="S1428" s="47"/>
      <c r="T1428" s="10"/>
      <c r="U1428"/>
      <c r="V1428" s="10"/>
      <c r="W1428" s="10"/>
      <c r="X1428" s="10"/>
      <c r="Y1428" s="96"/>
      <c r="Z1428"/>
      <c r="AA1428"/>
      <c r="AB1428" s="42"/>
      <c r="AC1428" s="42"/>
    </row>
    <row r="1429" spans="15:29" ht="12.75">
      <c r="O1429"/>
      <c r="P1429"/>
      <c r="Q1429" s="233"/>
      <c r="R1429" s="47"/>
      <c r="S1429" s="47"/>
      <c r="T1429" s="10"/>
      <c r="U1429"/>
      <c r="V1429" s="10"/>
      <c r="W1429" s="10"/>
      <c r="X1429" s="10"/>
      <c r="Y1429" s="96"/>
      <c r="Z1429"/>
      <c r="AA1429"/>
      <c r="AB1429" s="42"/>
      <c r="AC1429" s="42"/>
    </row>
    <row r="1430" spans="15:29" ht="12.75">
      <c r="O1430"/>
      <c r="P1430"/>
      <c r="Q1430" s="233"/>
      <c r="R1430" s="47"/>
      <c r="S1430" s="47"/>
      <c r="T1430" s="10"/>
      <c r="U1430"/>
      <c r="V1430" s="10"/>
      <c r="W1430" s="10"/>
      <c r="X1430" s="10"/>
      <c r="Y1430" s="96"/>
      <c r="Z1430"/>
      <c r="AA1430"/>
      <c r="AB1430" s="42"/>
      <c r="AC1430" s="42"/>
    </row>
    <row r="1431" spans="15:29" ht="12.75">
      <c r="O1431"/>
      <c r="P1431"/>
      <c r="Q1431" s="233"/>
      <c r="R1431" s="47"/>
      <c r="S1431" s="47"/>
      <c r="T1431" s="10"/>
      <c r="U1431"/>
      <c r="V1431" s="213"/>
      <c r="W1431" s="10"/>
      <c r="X1431" s="10"/>
      <c r="Y1431" s="96"/>
      <c r="Z1431"/>
      <c r="AA1431"/>
      <c r="AB1431" s="42"/>
      <c r="AC1431" s="42"/>
    </row>
    <row r="1432" spans="15:29" ht="12.75">
      <c r="O1432"/>
      <c r="P1432"/>
      <c r="Q1432" s="233"/>
      <c r="R1432" s="47"/>
      <c r="S1432" s="47"/>
      <c r="T1432" s="10"/>
      <c r="U1432"/>
      <c r="V1432" s="213"/>
      <c r="W1432" s="10"/>
      <c r="X1432" s="10"/>
      <c r="Y1432" s="96"/>
      <c r="Z1432"/>
      <c r="AA1432"/>
      <c r="AB1432" s="42"/>
      <c r="AC1432" s="42"/>
    </row>
    <row r="1433" spans="15:29" ht="12.75">
      <c r="O1433"/>
      <c r="P1433"/>
      <c r="Q1433" s="233"/>
      <c r="R1433" s="47"/>
      <c r="S1433" s="47"/>
      <c r="T1433" s="10"/>
      <c r="U1433"/>
      <c r="V1433" s="213"/>
      <c r="W1433" s="10"/>
      <c r="X1433" s="10"/>
      <c r="Y1433" s="96"/>
      <c r="Z1433"/>
      <c r="AA1433"/>
      <c r="AB1433" s="42"/>
      <c r="AC1433" s="42"/>
    </row>
    <row r="1434" spans="15:29" ht="12.75">
      <c r="O1434"/>
      <c r="P1434"/>
      <c r="Q1434" s="233"/>
      <c r="R1434" s="47"/>
      <c r="S1434" s="47"/>
      <c r="T1434" s="10"/>
      <c r="U1434"/>
      <c r="V1434" s="213"/>
      <c r="W1434" s="10"/>
      <c r="X1434" s="10"/>
      <c r="Y1434" s="96"/>
      <c r="Z1434"/>
      <c r="AA1434"/>
      <c r="AB1434" s="42"/>
      <c r="AC1434" s="42"/>
    </row>
    <row r="1435" spans="15:29" ht="12.75">
      <c r="O1435"/>
      <c r="P1435"/>
      <c r="Q1435" s="233"/>
      <c r="R1435" s="47"/>
      <c r="S1435" s="47"/>
      <c r="T1435" s="10"/>
      <c r="U1435"/>
      <c r="V1435" s="213"/>
      <c r="W1435" s="10"/>
      <c r="X1435" s="10"/>
      <c r="Y1435" s="96"/>
      <c r="Z1435"/>
      <c r="AA1435"/>
      <c r="AB1435" s="42"/>
      <c r="AC1435" s="42"/>
    </row>
    <row r="1436" spans="15:29" ht="12.75">
      <c r="O1436"/>
      <c r="P1436"/>
      <c r="Q1436" s="233"/>
      <c r="R1436" s="47"/>
      <c r="S1436" s="47"/>
      <c r="T1436" s="10"/>
      <c r="U1436"/>
      <c r="V1436" s="213"/>
      <c r="W1436" s="10"/>
      <c r="X1436" s="10"/>
      <c r="Y1436" s="96"/>
      <c r="Z1436"/>
      <c r="AA1436"/>
      <c r="AB1436" s="42"/>
      <c r="AC1436" s="42"/>
    </row>
    <row r="1437" spans="15:29" ht="12.75">
      <c r="O1437"/>
      <c r="P1437"/>
      <c r="Q1437" s="233"/>
      <c r="R1437" s="47"/>
      <c r="S1437" s="47"/>
      <c r="T1437" s="10"/>
      <c r="U1437"/>
      <c r="V1437" s="213"/>
      <c r="W1437" s="10"/>
      <c r="X1437" s="10"/>
      <c r="Y1437" s="96"/>
      <c r="Z1437"/>
      <c r="AA1437"/>
      <c r="AB1437" s="42"/>
      <c r="AC1437" s="42"/>
    </row>
    <row r="1438" spans="15:29" ht="12.75">
      <c r="O1438"/>
      <c r="P1438"/>
      <c r="Q1438" s="233"/>
      <c r="R1438" s="47"/>
      <c r="S1438" s="47"/>
      <c r="T1438" s="10"/>
      <c r="U1438"/>
      <c r="V1438" s="213"/>
      <c r="W1438" s="10"/>
      <c r="X1438" s="10"/>
      <c r="Y1438" s="96"/>
      <c r="Z1438"/>
      <c r="AA1438"/>
      <c r="AB1438" s="42"/>
      <c r="AC1438" s="42"/>
    </row>
    <row r="1439" spans="15:29" ht="12.75">
      <c r="O1439"/>
      <c r="P1439"/>
      <c r="Q1439" s="233"/>
      <c r="R1439" s="47"/>
      <c r="S1439" s="47"/>
      <c r="T1439" s="10"/>
      <c r="U1439"/>
      <c r="V1439" s="213"/>
      <c r="W1439" s="10"/>
      <c r="X1439" s="10"/>
      <c r="Y1439" s="96"/>
      <c r="Z1439"/>
      <c r="AA1439"/>
      <c r="AB1439" s="42"/>
      <c r="AC1439" s="42"/>
    </row>
    <row r="1440" spans="15:29" ht="12.75">
      <c r="O1440"/>
      <c r="P1440"/>
      <c r="Q1440" s="233"/>
      <c r="R1440" s="47"/>
      <c r="S1440" s="47"/>
      <c r="T1440" s="10"/>
      <c r="U1440"/>
      <c r="V1440" s="10"/>
      <c r="W1440" s="10"/>
      <c r="X1440" s="10"/>
      <c r="Y1440" s="96"/>
      <c r="Z1440"/>
      <c r="AA1440"/>
      <c r="AB1440" s="42"/>
      <c r="AC1440" s="42"/>
    </row>
    <row r="1441" spans="15:29" ht="12.75">
      <c r="O1441"/>
      <c r="P1441"/>
      <c r="Q1441" s="233"/>
      <c r="R1441" s="47"/>
      <c r="S1441" s="47"/>
      <c r="T1441" s="10"/>
      <c r="U1441"/>
      <c r="V1441" s="213"/>
      <c r="W1441" s="10"/>
      <c r="X1441" s="10"/>
      <c r="Y1441" s="96"/>
      <c r="Z1441"/>
      <c r="AA1441"/>
      <c r="AB1441" s="42"/>
      <c r="AC1441" s="42"/>
    </row>
    <row r="1442" spans="15:29" ht="12.75">
      <c r="O1442"/>
      <c r="P1442"/>
      <c r="Q1442" s="233"/>
      <c r="R1442" s="47"/>
      <c r="S1442" s="47"/>
      <c r="T1442" s="10"/>
      <c r="U1442"/>
      <c r="V1442" s="10"/>
      <c r="W1442" s="10"/>
      <c r="X1442" s="10"/>
      <c r="Y1442" s="96"/>
      <c r="Z1442"/>
      <c r="AA1442"/>
      <c r="AB1442" s="42"/>
      <c r="AC1442" s="42"/>
    </row>
    <row r="1443" spans="15:29" ht="12.75">
      <c r="O1443"/>
      <c r="P1443"/>
      <c r="Q1443" s="233"/>
      <c r="R1443" s="47"/>
      <c r="S1443" s="47"/>
      <c r="T1443" s="10"/>
      <c r="U1443"/>
      <c r="V1443" s="213"/>
      <c r="W1443" s="10"/>
      <c r="X1443" s="10"/>
      <c r="Y1443" s="96"/>
      <c r="Z1443"/>
      <c r="AA1443"/>
      <c r="AB1443" s="42"/>
      <c r="AC1443" s="42"/>
    </row>
    <row r="1444" spans="15:29" ht="12.75">
      <c r="O1444"/>
      <c r="P1444"/>
      <c r="Q1444" s="233"/>
      <c r="R1444" s="47"/>
      <c r="S1444" s="47"/>
      <c r="T1444" s="10"/>
      <c r="U1444"/>
      <c r="V1444" s="213"/>
      <c r="W1444" s="10"/>
      <c r="X1444" s="10"/>
      <c r="Y1444" s="96"/>
      <c r="Z1444"/>
      <c r="AA1444"/>
      <c r="AB1444" s="42"/>
      <c r="AC1444" s="42"/>
    </row>
    <row r="1445" spans="15:29" ht="12.75">
      <c r="O1445"/>
      <c r="P1445"/>
      <c r="Q1445" s="233"/>
      <c r="R1445" s="47"/>
      <c r="S1445" s="47"/>
      <c r="T1445" s="10"/>
      <c r="U1445"/>
      <c r="V1445" s="10"/>
      <c r="W1445" s="10"/>
      <c r="X1445" s="10"/>
      <c r="Y1445" s="96"/>
      <c r="Z1445"/>
      <c r="AA1445"/>
      <c r="AB1445" s="42"/>
      <c r="AC1445" s="42"/>
    </row>
    <row r="1446" spans="15:29" ht="12.75">
      <c r="O1446"/>
      <c r="P1446"/>
      <c r="Q1446" s="233"/>
      <c r="R1446" s="47"/>
      <c r="S1446" s="47"/>
      <c r="T1446" s="10"/>
      <c r="U1446"/>
      <c r="V1446" s="213"/>
      <c r="W1446" s="10"/>
      <c r="X1446" s="10"/>
      <c r="Y1446" s="96"/>
      <c r="Z1446"/>
      <c r="AA1446"/>
      <c r="AB1446" s="42"/>
      <c r="AC1446" s="42"/>
    </row>
    <row r="1447" spans="15:29" ht="12.75">
      <c r="O1447"/>
      <c r="P1447"/>
      <c r="Q1447" s="233"/>
      <c r="R1447" s="47"/>
      <c r="S1447" s="47"/>
      <c r="T1447" s="10"/>
      <c r="U1447"/>
      <c r="V1447" s="213"/>
      <c r="W1447" s="10"/>
      <c r="X1447" s="10"/>
      <c r="Y1447" s="96"/>
      <c r="Z1447"/>
      <c r="AA1447"/>
      <c r="AB1447" s="42"/>
      <c r="AC1447" s="42"/>
    </row>
    <row r="1448" spans="15:29" ht="12.75">
      <c r="O1448"/>
      <c r="P1448"/>
      <c r="Q1448" s="233"/>
      <c r="R1448" s="47"/>
      <c r="S1448" s="47"/>
      <c r="T1448" s="10"/>
      <c r="U1448"/>
      <c r="V1448" s="213"/>
      <c r="W1448" s="10"/>
      <c r="X1448" s="10"/>
      <c r="Y1448" s="96"/>
      <c r="Z1448"/>
      <c r="AA1448"/>
      <c r="AB1448" s="42"/>
      <c r="AC1448" s="42"/>
    </row>
    <row r="1449" spans="15:29" ht="12.75">
      <c r="O1449"/>
      <c r="P1449"/>
      <c r="Q1449" s="233"/>
      <c r="R1449" s="47"/>
      <c r="S1449" s="47"/>
      <c r="T1449" s="10"/>
      <c r="U1449"/>
      <c r="V1449" s="10"/>
      <c r="W1449" s="10"/>
      <c r="X1449" s="10"/>
      <c r="Y1449" s="96"/>
      <c r="Z1449"/>
      <c r="AA1449"/>
      <c r="AB1449" s="42"/>
      <c r="AC1449" s="42"/>
    </row>
    <row r="1450" spans="15:29" ht="12.75">
      <c r="O1450"/>
      <c r="P1450"/>
      <c r="Q1450" s="233"/>
      <c r="R1450" s="47"/>
      <c r="S1450" s="47"/>
      <c r="T1450" s="10"/>
      <c r="U1450"/>
      <c r="V1450" s="10"/>
      <c r="W1450" s="10"/>
      <c r="X1450" s="10"/>
      <c r="Y1450" s="96"/>
      <c r="Z1450"/>
      <c r="AA1450"/>
      <c r="AB1450" s="42"/>
      <c r="AC1450" s="42"/>
    </row>
    <row r="1451" spans="15:29" ht="12.75">
      <c r="O1451"/>
      <c r="P1451"/>
      <c r="Q1451" s="233"/>
      <c r="R1451" s="47"/>
      <c r="S1451" s="47"/>
      <c r="T1451" s="10"/>
      <c r="U1451"/>
      <c r="V1451" s="213"/>
      <c r="W1451" s="10"/>
      <c r="X1451" s="10"/>
      <c r="Y1451" s="96"/>
      <c r="Z1451"/>
      <c r="AA1451"/>
      <c r="AB1451" s="238"/>
      <c r="AC1451" s="42"/>
    </row>
    <row r="1452" spans="15:29" ht="12.75">
      <c r="O1452"/>
      <c r="P1452"/>
      <c r="Q1452" s="233"/>
      <c r="R1452" s="47"/>
      <c r="S1452" s="47"/>
      <c r="T1452" s="10"/>
      <c r="U1452"/>
      <c r="V1452" s="213"/>
      <c r="W1452" s="10"/>
      <c r="X1452" s="10"/>
      <c r="Y1452" s="96"/>
      <c r="Z1452"/>
      <c r="AA1452"/>
      <c r="AB1452" s="238"/>
      <c r="AC1452" s="42"/>
    </row>
    <row r="1453" spans="15:29" ht="12.75">
      <c r="O1453"/>
      <c r="P1453"/>
      <c r="Q1453" s="233"/>
      <c r="R1453" s="47"/>
      <c r="S1453" s="47"/>
      <c r="T1453" s="10"/>
      <c r="U1453"/>
      <c r="V1453" s="213"/>
      <c r="W1453" s="10"/>
      <c r="X1453" s="10"/>
      <c r="Y1453" s="96"/>
      <c r="Z1453"/>
      <c r="AA1453"/>
      <c r="AB1453" s="238"/>
      <c r="AC1453" s="42"/>
    </row>
    <row r="1454" spans="15:29" ht="12.75">
      <c r="O1454"/>
      <c r="P1454"/>
      <c r="Q1454" s="233"/>
      <c r="R1454" s="47"/>
      <c r="S1454" s="47"/>
      <c r="T1454" s="10"/>
      <c r="U1454"/>
      <c r="V1454" s="213"/>
      <c r="W1454" s="10"/>
      <c r="X1454" s="10"/>
      <c r="Y1454" s="96"/>
      <c r="Z1454"/>
      <c r="AA1454"/>
      <c r="AB1454" s="238"/>
      <c r="AC1454" s="42"/>
    </row>
    <row r="1455" spans="15:29" ht="12.75">
      <c r="O1455"/>
      <c r="P1455"/>
      <c r="Q1455" s="233"/>
      <c r="R1455" s="47"/>
      <c r="S1455" s="47"/>
      <c r="T1455" s="10"/>
      <c r="U1455"/>
      <c r="V1455" s="213"/>
      <c r="W1455" s="10"/>
      <c r="X1455" s="10"/>
      <c r="Y1455" s="96"/>
      <c r="Z1455"/>
      <c r="AA1455"/>
      <c r="AB1455" s="238"/>
      <c r="AC1455" s="42"/>
    </row>
    <row r="1456" spans="15:29" ht="12.75">
      <c r="O1456"/>
      <c r="P1456"/>
      <c r="Q1456" s="233"/>
      <c r="R1456" s="47"/>
      <c r="S1456" s="47"/>
      <c r="T1456" s="10"/>
      <c r="U1456"/>
      <c r="V1456" s="213"/>
      <c r="W1456" s="10"/>
      <c r="X1456" s="10"/>
      <c r="Y1456" s="96"/>
      <c r="Z1456"/>
      <c r="AA1456"/>
      <c r="AB1456" s="238"/>
      <c r="AC1456" s="42"/>
    </row>
    <row r="1457" spans="15:29" ht="12.75">
      <c r="O1457"/>
      <c r="P1457"/>
      <c r="Q1457" s="233"/>
      <c r="R1457" s="47"/>
      <c r="S1457" s="47"/>
      <c r="T1457" s="10"/>
      <c r="U1457"/>
      <c r="V1457" s="10"/>
      <c r="W1457" s="10"/>
      <c r="X1457" s="10"/>
      <c r="Y1457" s="96"/>
      <c r="Z1457"/>
      <c r="AA1457"/>
      <c r="AB1457" s="238"/>
      <c r="AC1457" s="42"/>
    </row>
    <row r="1458" spans="15:29" ht="12.75">
      <c r="O1458"/>
      <c r="P1458"/>
      <c r="Q1458" s="233"/>
      <c r="R1458" s="47"/>
      <c r="S1458" s="47"/>
      <c r="T1458" s="10"/>
      <c r="U1458"/>
      <c r="V1458" s="10"/>
      <c r="W1458" s="10"/>
      <c r="X1458" s="10"/>
      <c r="Y1458" s="96"/>
      <c r="Z1458"/>
      <c r="AA1458"/>
      <c r="AB1458" s="238"/>
      <c r="AC1458" s="42"/>
    </row>
    <row r="1459" spans="15:29" ht="12.75">
      <c r="O1459"/>
      <c r="P1459"/>
      <c r="Q1459" s="233"/>
      <c r="R1459" s="47"/>
      <c r="S1459" s="47"/>
      <c r="T1459" s="10"/>
      <c r="U1459"/>
      <c r="V1459" s="213"/>
      <c r="W1459" s="10"/>
      <c r="X1459" s="10"/>
      <c r="Y1459" s="96"/>
      <c r="Z1459"/>
      <c r="AA1459"/>
      <c r="AB1459" s="42"/>
      <c r="AC1459" s="42"/>
    </row>
    <row r="1460" spans="15:29" ht="12.75">
      <c r="O1460"/>
      <c r="P1460"/>
      <c r="Q1460" s="233"/>
      <c r="R1460" s="47"/>
      <c r="S1460" s="47"/>
      <c r="T1460" s="10"/>
      <c r="U1460"/>
      <c r="V1460" s="213"/>
      <c r="W1460" s="10"/>
      <c r="X1460" s="10"/>
      <c r="Y1460" s="96"/>
      <c r="Z1460"/>
      <c r="AA1460"/>
      <c r="AB1460" s="42"/>
      <c r="AC1460" s="42"/>
    </row>
    <row r="1461" spans="15:29" ht="12.75">
      <c r="O1461"/>
      <c r="P1461"/>
      <c r="Q1461" s="233"/>
      <c r="R1461" s="47"/>
      <c r="S1461" s="47"/>
      <c r="T1461" s="10"/>
      <c r="U1461"/>
      <c r="V1461" s="213"/>
      <c r="W1461" s="10"/>
      <c r="X1461" s="10"/>
      <c r="Y1461" s="96"/>
      <c r="Z1461"/>
      <c r="AA1461"/>
      <c r="AB1461" s="42"/>
      <c r="AC1461" s="42"/>
    </row>
    <row r="1462" spans="15:29" ht="12.75">
      <c r="O1462"/>
      <c r="P1462"/>
      <c r="Q1462" s="233"/>
      <c r="R1462" s="47"/>
      <c r="S1462" s="47"/>
      <c r="T1462" s="10"/>
      <c r="U1462"/>
      <c r="V1462" s="213"/>
      <c r="W1462" s="10"/>
      <c r="X1462" s="10"/>
      <c r="Y1462" s="96"/>
      <c r="Z1462"/>
      <c r="AA1462"/>
      <c r="AB1462" s="42"/>
      <c r="AC1462" s="42"/>
    </row>
    <row r="1463" spans="15:29" ht="12.75">
      <c r="O1463"/>
      <c r="P1463"/>
      <c r="Q1463" s="233"/>
      <c r="R1463" s="47"/>
      <c r="S1463" s="47"/>
      <c r="T1463" s="10"/>
      <c r="U1463"/>
      <c r="V1463" s="213"/>
      <c r="W1463" s="10"/>
      <c r="X1463" s="10"/>
      <c r="Y1463" s="96"/>
      <c r="Z1463"/>
      <c r="AA1463"/>
      <c r="AB1463" s="42"/>
      <c r="AC1463" s="42"/>
    </row>
    <row r="1464" spans="15:29" ht="12.75">
      <c r="O1464"/>
      <c r="P1464"/>
      <c r="Q1464" s="233"/>
      <c r="R1464" s="47"/>
      <c r="S1464" s="47"/>
      <c r="T1464" s="10"/>
      <c r="U1464"/>
      <c r="V1464" s="213"/>
      <c r="W1464" s="10"/>
      <c r="X1464" s="10"/>
      <c r="Y1464" s="96"/>
      <c r="Z1464"/>
      <c r="AA1464"/>
      <c r="AB1464" s="42"/>
      <c r="AC1464" s="42"/>
    </row>
    <row r="1465" spans="15:29" ht="12.75">
      <c r="O1465"/>
      <c r="P1465"/>
      <c r="Q1465" s="233"/>
      <c r="R1465" s="47"/>
      <c r="S1465" s="47"/>
      <c r="T1465" s="10"/>
      <c r="U1465"/>
      <c r="V1465" s="213"/>
      <c r="W1465" s="10"/>
      <c r="X1465" s="10"/>
      <c r="Y1465" s="96"/>
      <c r="Z1465"/>
      <c r="AA1465"/>
      <c r="AB1465" s="42"/>
      <c r="AC1465" s="42"/>
    </row>
    <row r="1466" spans="15:29" ht="12.75">
      <c r="O1466"/>
      <c r="P1466"/>
      <c r="Q1466" s="233"/>
      <c r="R1466" s="47"/>
      <c r="S1466" s="47"/>
      <c r="T1466" s="10"/>
      <c r="U1466"/>
      <c r="V1466" s="213"/>
      <c r="W1466" s="10"/>
      <c r="X1466" s="10"/>
      <c r="Y1466" s="96"/>
      <c r="Z1466"/>
      <c r="AA1466"/>
      <c r="AB1466" s="42"/>
      <c r="AC1466" s="42"/>
    </row>
    <row r="1467" spans="15:29" ht="12.75">
      <c r="O1467"/>
      <c r="P1467"/>
      <c r="Q1467" s="233"/>
      <c r="R1467" s="47"/>
      <c r="S1467" s="47"/>
      <c r="T1467" s="10"/>
      <c r="U1467"/>
      <c r="V1467" s="213"/>
      <c r="W1467" s="10"/>
      <c r="X1467" s="10"/>
      <c r="Y1467" s="96"/>
      <c r="Z1467"/>
      <c r="AA1467"/>
      <c r="AB1467" s="42"/>
      <c r="AC1467" s="42"/>
    </row>
    <row r="1468" spans="15:29" ht="12.75">
      <c r="O1468"/>
      <c r="P1468"/>
      <c r="Q1468" s="233"/>
      <c r="R1468" s="47"/>
      <c r="S1468" s="47"/>
      <c r="T1468" s="10"/>
      <c r="U1468"/>
      <c r="V1468" s="213"/>
      <c r="W1468" s="10"/>
      <c r="X1468" s="10"/>
      <c r="Y1468" s="96"/>
      <c r="Z1468"/>
      <c r="AA1468"/>
      <c r="AB1468" s="42"/>
      <c r="AC1468" s="42"/>
    </row>
    <row r="1469" spans="15:29" ht="12.75">
      <c r="O1469"/>
      <c r="P1469"/>
      <c r="Q1469" s="233"/>
      <c r="R1469" s="47"/>
      <c r="S1469" s="47"/>
      <c r="T1469" s="10"/>
      <c r="U1469"/>
      <c r="V1469" s="213"/>
      <c r="W1469" s="10"/>
      <c r="X1469" s="10"/>
      <c r="Y1469" s="96"/>
      <c r="Z1469"/>
      <c r="AA1469"/>
      <c r="AB1469" s="42"/>
      <c r="AC1469" s="42"/>
    </row>
    <row r="1470" spans="15:29" ht="12.75">
      <c r="O1470"/>
      <c r="P1470"/>
      <c r="Q1470" s="233"/>
      <c r="R1470" s="47"/>
      <c r="S1470" s="47"/>
      <c r="T1470" s="10"/>
      <c r="U1470"/>
      <c r="V1470" s="213"/>
      <c r="W1470" s="10"/>
      <c r="X1470" s="10"/>
      <c r="Y1470" s="96"/>
      <c r="Z1470"/>
      <c r="AA1470"/>
      <c r="AB1470" s="42"/>
      <c r="AC1470" s="42"/>
    </row>
    <row r="1471" spans="15:29" ht="12.75">
      <c r="O1471"/>
      <c r="P1471"/>
      <c r="Q1471" s="233"/>
      <c r="R1471" s="47"/>
      <c r="S1471" s="47"/>
      <c r="T1471" s="10"/>
      <c r="U1471"/>
      <c r="V1471" s="213"/>
      <c r="W1471" s="10"/>
      <c r="X1471" s="10"/>
      <c r="Y1471" s="96"/>
      <c r="Z1471"/>
      <c r="AA1471"/>
      <c r="AB1471" s="42"/>
      <c r="AC1471" s="42"/>
    </row>
    <row r="1472" spans="15:29" ht="12.75">
      <c r="O1472"/>
      <c r="P1472"/>
      <c r="Q1472" s="233"/>
      <c r="R1472" s="47"/>
      <c r="S1472" s="47"/>
      <c r="T1472" s="10"/>
      <c r="U1472"/>
      <c r="V1472" s="213"/>
      <c r="W1472" s="10"/>
      <c r="X1472" s="10"/>
      <c r="Y1472" s="96"/>
      <c r="Z1472"/>
      <c r="AA1472"/>
      <c r="AB1472" s="42"/>
      <c r="AC1472" s="42"/>
    </row>
    <row r="1473" spans="15:29" ht="12.75">
      <c r="O1473"/>
      <c r="P1473"/>
      <c r="Q1473" s="233"/>
      <c r="R1473" s="47"/>
      <c r="S1473" s="47"/>
      <c r="T1473" s="10"/>
      <c r="U1473"/>
      <c r="V1473" s="213"/>
      <c r="W1473" s="10"/>
      <c r="X1473" s="10"/>
      <c r="Y1473" s="96"/>
      <c r="Z1473"/>
      <c r="AA1473"/>
      <c r="AB1473" s="42"/>
      <c r="AC1473" s="42"/>
    </row>
    <row r="1474" spans="15:29" ht="12.75">
      <c r="O1474"/>
      <c r="P1474"/>
      <c r="Q1474" s="233"/>
      <c r="R1474" s="47"/>
      <c r="S1474" s="47"/>
      <c r="T1474" s="10"/>
      <c r="U1474"/>
      <c r="V1474" s="10"/>
      <c r="W1474" s="10"/>
      <c r="X1474" s="10"/>
      <c r="Y1474" s="96"/>
      <c r="Z1474"/>
      <c r="AA1474"/>
      <c r="AB1474" s="42"/>
      <c r="AC1474" s="42"/>
    </row>
    <row r="1475" spans="15:29" ht="12.75">
      <c r="O1475"/>
      <c r="P1475"/>
      <c r="Q1475" s="233"/>
      <c r="R1475" s="47"/>
      <c r="S1475" s="47"/>
      <c r="T1475" s="10"/>
      <c r="U1475"/>
      <c r="V1475" s="10"/>
      <c r="W1475" s="10"/>
      <c r="X1475" s="10"/>
      <c r="Y1475" s="96"/>
      <c r="Z1475"/>
      <c r="AA1475"/>
      <c r="AB1475" s="42"/>
      <c r="AC1475" s="42"/>
    </row>
    <row r="1476" spans="15:29" ht="12.75">
      <c r="O1476"/>
      <c r="P1476"/>
      <c r="Q1476" s="233"/>
      <c r="R1476" s="47"/>
      <c r="S1476" s="47"/>
      <c r="T1476" s="10"/>
      <c r="U1476"/>
      <c r="V1476" s="10"/>
      <c r="W1476" s="10"/>
      <c r="X1476" s="10"/>
      <c r="Y1476" s="96"/>
      <c r="Z1476"/>
      <c r="AA1476"/>
      <c r="AB1476" s="42"/>
      <c r="AC1476" s="42"/>
    </row>
    <row r="1477" spans="15:29" ht="12.75">
      <c r="O1477"/>
      <c r="P1477"/>
      <c r="Q1477" s="233"/>
      <c r="R1477" s="47"/>
      <c r="S1477" s="47"/>
      <c r="T1477" s="10"/>
      <c r="U1477"/>
      <c r="V1477" s="10"/>
      <c r="W1477" s="10"/>
      <c r="X1477" s="10"/>
      <c r="Y1477" s="96"/>
      <c r="Z1477"/>
      <c r="AA1477"/>
      <c r="AB1477" s="42"/>
      <c r="AC1477" s="42"/>
    </row>
    <row r="1478" spans="15:29" ht="12.75">
      <c r="O1478"/>
      <c r="P1478"/>
      <c r="Q1478" s="233"/>
      <c r="R1478" s="47"/>
      <c r="S1478" s="47"/>
      <c r="T1478" s="10"/>
      <c r="U1478"/>
      <c r="V1478" s="10"/>
      <c r="W1478" s="10"/>
      <c r="X1478" s="10"/>
      <c r="Y1478" s="96"/>
      <c r="Z1478"/>
      <c r="AA1478"/>
      <c r="AB1478" s="42"/>
      <c r="AC1478" s="42"/>
    </row>
    <row r="1479" spans="15:29" ht="12.75">
      <c r="O1479"/>
      <c r="P1479"/>
      <c r="Q1479" s="233"/>
      <c r="R1479" s="47"/>
      <c r="S1479" s="47"/>
      <c r="T1479" s="10"/>
      <c r="U1479"/>
      <c r="V1479" s="213"/>
      <c r="W1479" s="10"/>
      <c r="X1479" s="10"/>
      <c r="Y1479" s="96"/>
      <c r="Z1479"/>
      <c r="AA1479"/>
      <c r="AB1479" s="42"/>
      <c r="AC1479" s="42"/>
    </row>
    <row r="1480" spans="15:29" ht="12.75">
      <c r="O1480"/>
      <c r="P1480"/>
      <c r="Q1480" s="233"/>
      <c r="R1480" s="47"/>
      <c r="S1480" s="47"/>
      <c r="T1480" s="10"/>
      <c r="U1480"/>
      <c r="V1480" s="213"/>
      <c r="W1480" s="10"/>
      <c r="X1480" s="10"/>
      <c r="Y1480" s="96"/>
      <c r="Z1480"/>
      <c r="AA1480"/>
      <c r="AB1480" s="42"/>
      <c r="AC1480" s="42"/>
    </row>
    <row r="1481" spans="15:29" ht="12.75">
      <c r="O1481"/>
      <c r="P1481"/>
      <c r="Q1481" s="233"/>
      <c r="R1481" s="47"/>
      <c r="S1481" s="47"/>
      <c r="T1481" s="10"/>
      <c r="U1481"/>
      <c r="V1481" s="213"/>
      <c r="W1481" s="10"/>
      <c r="X1481" s="10"/>
      <c r="Y1481" s="96"/>
      <c r="Z1481"/>
      <c r="AA1481"/>
      <c r="AB1481" s="42"/>
      <c r="AC1481" s="42"/>
    </row>
    <row r="1482" spans="15:29" ht="12.75">
      <c r="O1482"/>
      <c r="P1482"/>
      <c r="Q1482" s="233"/>
      <c r="R1482" s="47"/>
      <c r="S1482" s="47"/>
      <c r="T1482" s="10"/>
      <c r="U1482"/>
      <c r="V1482" s="213"/>
      <c r="W1482" s="10"/>
      <c r="X1482" s="10"/>
      <c r="Y1482" s="96"/>
      <c r="Z1482"/>
      <c r="AA1482"/>
      <c r="AB1482" s="42"/>
      <c r="AC1482" s="42"/>
    </row>
    <row r="1483" spans="15:29" ht="12.75">
      <c r="O1483"/>
      <c r="P1483"/>
      <c r="Q1483" s="233"/>
      <c r="R1483" s="47"/>
      <c r="S1483" s="47"/>
      <c r="T1483" s="10"/>
      <c r="U1483"/>
      <c r="V1483" s="213"/>
      <c r="W1483" s="10"/>
      <c r="X1483" s="10"/>
      <c r="Y1483" s="96"/>
      <c r="Z1483"/>
      <c r="AA1483"/>
      <c r="AB1483" s="42"/>
      <c r="AC1483" s="42"/>
    </row>
    <row r="1484" spans="15:29" ht="12.75">
      <c r="O1484"/>
      <c r="P1484"/>
      <c r="Q1484" s="233"/>
      <c r="R1484" s="47"/>
      <c r="S1484" s="47"/>
      <c r="T1484" s="10"/>
      <c r="U1484"/>
      <c r="V1484" s="213"/>
      <c r="W1484" s="10"/>
      <c r="X1484" s="10"/>
      <c r="Y1484" s="96"/>
      <c r="Z1484"/>
      <c r="AA1484"/>
      <c r="AB1484" s="42"/>
      <c r="AC1484" s="42"/>
    </row>
    <row r="1485" spans="15:29" ht="12.75">
      <c r="O1485"/>
      <c r="P1485"/>
      <c r="Q1485" s="233"/>
      <c r="R1485" s="47"/>
      <c r="S1485" s="47"/>
      <c r="T1485" s="10"/>
      <c r="U1485"/>
      <c r="V1485" s="213"/>
      <c r="W1485" s="10"/>
      <c r="X1485" s="10"/>
      <c r="Y1485" s="96"/>
      <c r="Z1485"/>
      <c r="AA1485"/>
      <c r="AB1485" s="42"/>
      <c r="AC1485" s="42"/>
    </row>
    <row r="1486" spans="15:29" ht="12.75">
      <c r="O1486"/>
      <c r="P1486"/>
      <c r="Q1486" s="233"/>
      <c r="R1486" s="47"/>
      <c r="S1486" s="47"/>
      <c r="T1486" s="10"/>
      <c r="U1486"/>
      <c r="V1486" s="213"/>
      <c r="W1486" s="10"/>
      <c r="X1486" s="10"/>
      <c r="Y1486" s="96"/>
      <c r="Z1486"/>
      <c r="AA1486"/>
      <c r="AB1486" s="42"/>
      <c r="AC1486" s="42"/>
    </row>
    <row r="1487" spans="15:29" ht="12.75">
      <c r="O1487"/>
      <c r="P1487"/>
      <c r="Q1487" s="233"/>
      <c r="R1487" s="47"/>
      <c r="S1487" s="47"/>
      <c r="T1487" s="10"/>
      <c r="U1487"/>
      <c r="V1487" s="213"/>
      <c r="W1487" s="10"/>
      <c r="X1487" s="10"/>
      <c r="Y1487" s="96"/>
      <c r="Z1487"/>
      <c r="AA1487"/>
      <c r="AB1487" s="42"/>
      <c r="AC1487" s="42"/>
    </row>
    <row r="1488" spans="15:29" ht="12.75">
      <c r="O1488"/>
      <c r="P1488"/>
      <c r="Q1488" s="233"/>
      <c r="R1488" s="47"/>
      <c r="S1488" s="47"/>
      <c r="T1488" s="10"/>
      <c r="U1488"/>
      <c r="V1488" s="213"/>
      <c r="W1488" s="10"/>
      <c r="X1488" s="10"/>
      <c r="Y1488" s="96"/>
      <c r="Z1488"/>
      <c r="AA1488"/>
      <c r="AB1488" s="42"/>
      <c r="AC1488" s="42"/>
    </row>
    <row r="1489" spans="15:29" ht="12.75">
      <c r="O1489"/>
      <c r="P1489"/>
      <c r="Q1489" s="233"/>
      <c r="R1489" s="47"/>
      <c r="S1489" s="47"/>
      <c r="T1489" s="10"/>
      <c r="U1489"/>
      <c r="V1489" s="213"/>
      <c r="W1489" s="10"/>
      <c r="X1489" s="10"/>
      <c r="Y1489" s="96"/>
      <c r="Z1489"/>
      <c r="AA1489"/>
      <c r="AB1489" s="42"/>
      <c r="AC1489" s="42"/>
    </row>
    <row r="1490" spans="15:29" ht="12.75">
      <c r="O1490"/>
      <c r="P1490"/>
      <c r="Q1490" s="233"/>
      <c r="R1490" s="47"/>
      <c r="S1490" s="47"/>
      <c r="T1490" s="10"/>
      <c r="U1490"/>
      <c r="V1490" s="213"/>
      <c r="W1490" s="10"/>
      <c r="X1490" s="10"/>
      <c r="Y1490" s="96"/>
      <c r="Z1490"/>
      <c r="AA1490"/>
      <c r="AB1490" s="42"/>
      <c r="AC1490" s="42"/>
    </row>
    <row r="1491" spans="15:29" ht="12.75">
      <c r="O1491"/>
      <c r="P1491"/>
      <c r="Q1491" s="233"/>
      <c r="R1491" s="47"/>
      <c r="S1491" s="47"/>
      <c r="T1491" s="10"/>
      <c r="U1491"/>
      <c r="V1491" s="213"/>
      <c r="W1491" s="10"/>
      <c r="X1491" s="10"/>
      <c r="Y1491" s="96"/>
      <c r="Z1491"/>
      <c r="AA1491"/>
      <c r="AB1491" s="42"/>
      <c r="AC1491" s="42"/>
    </row>
    <row r="1492" spans="15:29" ht="12.75">
      <c r="O1492"/>
      <c r="P1492"/>
      <c r="Q1492" s="233"/>
      <c r="R1492" s="47"/>
      <c r="S1492" s="47"/>
      <c r="T1492" s="10"/>
      <c r="U1492"/>
      <c r="V1492" s="213"/>
      <c r="W1492" s="10"/>
      <c r="X1492" s="10"/>
      <c r="Y1492" s="96"/>
      <c r="Z1492"/>
      <c r="AA1492"/>
      <c r="AB1492" s="42"/>
      <c r="AC1492" s="42"/>
    </row>
    <row r="1493" spans="15:29" ht="12.75">
      <c r="O1493"/>
      <c r="P1493"/>
      <c r="Q1493" s="233"/>
      <c r="R1493" s="47"/>
      <c r="S1493" s="47"/>
      <c r="T1493" s="10"/>
      <c r="U1493"/>
      <c r="V1493" s="213"/>
      <c r="W1493" s="10"/>
      <c r="X1493" s="10"/>
      <c r="Y1493" s="96"/>
      <c r="Z1493"/>
      <c r="AA1493"/>
      <c r="AB1493" s="42"/>
      <c r="AC1493" s="42"/>
    </row>
    <row r="1494" spans="15:29" ht="12.75">
      <c r="O1494"/>
      <c r="P1494"/>
      <c r="Q1494" s="233"/>
      <c r="R1494" s="47"/>
      <c r="S1494" s="47"/>
      <c r="T1494" s="10"/>
      <c r="U1494"/>
      <c r="V1494" s="213"/>
      <c r="W1494" s="10"/>
      <c r="X1494" s="10"/>
      <c r="Y1494" s="96"/>
      <c r="Z1494"/>
      <c r="AA1494"/>
      <c r="AB1494" s="42"/>
      <c r="AC1494" s="42"/>
    </row>
    <row r="1495" spans="15:29" ht="12.75">
      <c r="O1495"/>
      <c r="P1495"/>
      <c r="Q1495" s="233"/>
      <c r="R1495" s="47"/>
      <c r="S1495" s="47"/>
      <c r="T1495" s="10"/>
      <c r="U1495"/>
      <c r="V1495" s="213"/>
      <c r="W1495" s="10"/>
      <c r="X1495" s="10"/>
      <c r="Y1495" s="96"/>
      <c r="Z1495"/>
      <c r="AA1495"/>
      <c r="AB1495" s="42"/>
      <c r="AC1495" s="42"/>
    </row>
    <row r="1496" spans="15:29" ht="12.75">
      <c r="O1496"/>
      <c r="P1496"/>
      <c r="Q1496" s="233"/>
      <c r="R1496" s="47"/>
      <c r="S1496" s="47"/>
      <c r="T1496" s="10"/>
      <c r="U1496"/>
      <c r="V1496" s="213"/>
      <c r="W1496" s="10"/>
      <c r="X1496" s="10"/>
      <c r="Y1496" s="96"/>
      <c r="Z1496"/>
      <c r="AA1496"/>
      <c r="AB1496" s="42"/>
      <c r="AC1496" s="42"/>
    </row>
    <row r="1497" spans="15:29" ht="12.75">
      <c r="O1497"/>
      <c r="P1497"/>
      <c r="Q1497" s="233"/>
      <c r="R1497" s="47"/>
      <c r="S1497" s="47"/>
      <c r="T1497" s="10"/>
      <c r="U1497"/>
      <c r="V1497" s="213"/>
      <c r="W1497" s="10"/>
      <c r="X1497" s="10"/>
      <c r="Y1497" s="96"/>
      <c r="Z1497"/>
      <c r="AA1497"/>
      <c r="AB1497" s="42"/>
      <c r="AC1497" s="42"/>
    </row>
    <row r="1498" spans="15:29" ht="12.75">
      <c r="O1498"/>
      <c r="P1498"/>
      <c r="Q1498" s="233"/>
      <c r="R1498" s="47"/>
      <c r="S1498" s="47"/>
      <c r="T1498" s="10"/>
      <c r="U1498"/>
      <c r="V1498" s="213"/>
      <c r="W1498" s="10"/>
      <c r="X1498" s="10"/>
      <c r="Y1498" s="96"/>
      <c r="Z1498"/>
      <c r="AA1498"/>
      <c r="AB1498" s="42"/>
      <c r="AC1498" s="42"/>
    </row>
    <row r="1499" spans="15:29" ht="12.75">
      <c r="O1499"/>
      <c r="P1499"/>
      <c r="Q1499" s="233"/>
      <c r="R1499" s="47"/>
      <c r="S1499" s="47"/>
      <c r="T1499" s="10"/>
      <c r="U1499"/>
      <c r="V1499" s="213"/>
      <c r="W1499" s="10"/>
      <c r="X1499" s="10"/>
      <c r="Y1499" s="96"/>
      <c r="Z1499"/>
      <c r="AA1499"/>
      <c r="AB1499" s="42"/>
      <c r="AC1499" s="42"/>
    </row>
    <row r="1500" spans="15:29" ht="12.75">
      <c r="O1500"/>
      <c r="P1500"/>
      <c r="Q1500" s="233"/>
      <c r="R1500" s="47"/>
      <c r="S1500" s="47"/>
      <c r="T1500" s="10"/>
      <c r="U1500"/>
      <c r="V1500" s="10"/>
      <c r="W1500" s="10"/>
      <c r="X1500" s="10"/>
      <c r="Y1500" s="96"/>
      <c r="Z1500"/>
      <c r="AA1500"/>
      <c r="AB1500" s="42"/>
      <c r="AC1500" s="42"/>
    </row>
    <row r="1501" spans="15:29" ht="12.75">
      <c r="O1501"/>
      <c r="P1501"/>
      <c r="Q1501" s="233"/>
      <c r="R1501" s="47"/>
      <c r="S1501" s="47"/>
      <c r="T1501" s="10"/>
      <c r="U1501"/>
      <c r="V1501" s="10"/>
      <c r="W1501" s="10"/>
      <c r="X1501" s="10"/>
      <c r="Y1501" s="96"/>
      <c r="Z1501"/>
      <c r="AA1501"/>
      <c r="AB1501" s="42"/>
      <c r="AC1501" s="42"/>
    </row>
    <row r="1502" spans="15:29" ht="12.75">
      <c r="O1502"/>
      <c r="P1502"/>
      <c r="Q1502" s="233"/>
      <c r="R1502" s="47"/>
      <c r="S1502" s="47"/>
      <c r="T1502" s="10"/>
      <c r="U1502"/>
      <c r="V1502" s="10"/>
      <c r="W1502" s="10"/>
      <c r="X1502" s="10"/>
      <c r="Y1502" s="96"/>
      <c r="Z1502"/>
      <c r="AA1502"/>
      <c r="AB1502" s="42"/>
      <c r="AC1502" s="42"/>
    </row>
    <row r="1503" spans="15:29" ht="12.75">
      <c r="O1503"/>
      <c r="P1503"/>
      <c r="Q1503" s="233"/>
      <c r="R1503" s="47"/>
      <c r="S1503" s="47"/>
      <c r="T1503" s="10"/>
      <c r="U1503"/>
      <c r="V1503" s="10"/>
      <c r="W1503" s="10"/>
      <c r="X1503" s="10"/>
      <c r="Y1503" s="96"/>
      <c r="Z1503"/>
      <c r="AA1503"/>
      <c r="AB1503" s="42"/>
      <c r="AC1503" s="42"/>
    </row>
    <row r="1504" spans="15:29" ht="12.75">
      <c r="O1504"/>
      <c r="P1504"/>
      <c r="Q1504" s="233"/>
      <c r="R1504" s="47"/>
      <c r="S1504" s="47"/>
      <c r="T1504" s="10"/>
      <c r="U1504"/>
      <c r="V1504" s="10"/>
      <c r="W1504" s="10"/>
      <c r="X1504" s="10"/>
      <c r="Y1504" s="96"/>
      <c r="Z1504"/>
      <c r="AA1504"/>
      <c r="AB1504" s="42"/>
      <c r="AC1504" s="42"/>
    </row>
    <row r="1505" spans="15:29" ht="12.75">
      <c r="O1505"/>
      <c r="P1505"/>
      <c r="Q1505" s="233"/>
      <c r="R1505" s="47"/>
      <c r="S1505" s="47"/>
      <c r="T1505" s="10"/>
      <c r="U1505"/>
      <c r="V1505" s="10"/>
      <c r="W1505" s="10"/>
      <c r="X1505" s="10"/>
      <c r="Y1505" s="96"/>
      <c r="Z1505"/>
      <c r="AA1505"/>
      <c r="AB1505" s="42"/>
      <c r="AC1505" s="42"/>
    </row>
    <row r="1506" spans="15:29" ht="12.75">
      <c r="O1506"/>
      <c r="P1506"/>
      <c r="Q1506" s="233"/>
      <c r="R1506" s="47"/>
      <c r="S1506" s="47"/>
      <c r="T1506" s="10"/>
      <c r="U1506"/>
      <c r="V1506" s="10"/>
      <c r="W1506" s="10"/>
      <c r="X1506" s="10"/>
      <c r="Y1506" s="96"/>
      <c r="Z1506"/>
      <c r="AA1506"/>
      <c r="AB1506" s="42"/>
      <c r="AC1506" s="42"/>
    </row>
    <row r="1507" spans="15:29" ht="12.75">
      <c r="O1507"/>
      <c r="P1507"/>
      <c r="Q1507" s="233"/>
      <c r="R1507" s="47"/>
      <c r="S1507" s="47"/>
      <c r="T1507" s="10"/>
      <c r="U1507"/>
      <c r="V1507" s="213"/>
      <c r="W1507" s="10"/>
      <c r="X1507" s="10"/>
      <c r="Y1507" s="96"/>
      <c r="Z1507"/>
      <c r="AA1507"/>
      <c r="AB1507" s="42"/>
      <c r="AC1507" s="42"/>
    </row>
    <row r="1508" spans="15:29" ht="12.75">
      <c r="O1508"/>
      <c r="P1508"/>
      <c r="Q1508" s="233"/>
      <c r="R1508" s="47"/>
      <c r="S1508" s="47"/>
      <c r="T1508" s="10"/>
      <c r="U1508"/>
      <c r="V1508" s="213"/>
      <c r="W1508" s="10"/>
      <c r="X1508" s="10"/>
      <c r="Y1508" s="96"/>
      <c r="Z1508"/>
      <c r="AA1508"/>
      <c r="AB1508" s="42"/>
      <c r="AC1508" s="42"/>
    </row>
    <row r="1509" spans="15:29" ht="12.75">
      <c r="O1509"/>
      <c r="P1509"/>
      <c r="Q1509" s="233"/>
      <c r="R1509" s="47"/>
      <c r="S1509" s="47"/>
      <c r="T1509" s="10"/>
      <c r="U1509"/>
      <c r="V1509" s="213"/>
      <c r="W1509" s="10"/>
      <c r="X1509" s="10"/>
      <c r="Y1509" s="96"/>
      <c r="Z1509"/>
      <c r="AA1509"/>
      <c r="AB1509" s="42"/>
      <c r="AC1509" s="42"/>
    </row>
    <row r="1510" spans="15:29" ht="12.75">
      <c r="O1510"/>
      <c r="P1510"/>
      <c r="Q1510" s="233"/>
      <c r="R1510" s="47"/>
      <c r="S1510" s="47"/>
      <c r="T1510" s="10"/>
      <c r="U1510"/>
      <c r="V1510" s="213"/>
      <c r="W1510" s="10"/>
      <c r="X1510" s="10"/>
      <c r="Y1510" s="96"/>
      <c r="Z1510"/>
      <c r="AA1510"/>
      <c r="AB1510" s="42"/>
      <c r="AC1510" s="42"/>
    </row>
    <row r="1511" spans="15:29" ht="12.75">
      <c r="O1511"/>
      <c r="P1511"/>
      <c r="Q1511" s="233"/>
      <c r="R1511" s="47"/>
      <c r="S1511" s="47"/>
      <c r="T1511" s="10"/>
      <c r="U1511"/>
      <c r="V1511" s="213"/>
      <c r="W1511" s="10"/>
      <c r="X1511" s="10"/>
      <c r="Y1511" s="96"/>
      <c r="Z1511"/>
      <c r="AA1511"/>
      <c r="AB1511" s="42"/>
      <c r="AC1511" s="42"/>
    </row>
    <row r="1512" spans="15:29" ht="12.75">
      <c r="O1512"/>
      <c r="P1512"/>
      <c r="Q1512" s="233"/>
      <c r="R1512" s="47"/>
      <c r="S1512" s="47"/>
      <c r="T1512" s="10"/>
      <c r="U1512"/>
      <c r="V1512" s="213"/>
      <c r="W1512" s="10"/>
      <c r="X1512" s="10"/>
      <c r="Y1512" s="96"/>
      <c r="Z1512"/>
      <c r="AA1512"/>
      <c r="AB1512" s="42"/>
      <c r="AC1512" s="42"/>
    </row>
    <row r="1513" spans="15:29" ht="12.75">
      <c r="O1513"/>
      <c r="P1513"/>
      <c r="Q1513" s="233"/>
      <c r="R1513" s="47"/>
      <c r="S1513" s="47"/>
      <c r="T1513" s="10"/>
      <c r="U1513"/>
      <c r="V1513" s="213"/>
      <c r="W1513" s="10"/>
      <c r="X1513" s="10"/>
      <c r="Y1513" s="96"/>
      <c r="Z1513"/>
      <c r="AA1513"/>
      <c r="AB1513" s="42"/>
      <c r="AC1513" s="42"/>
    </row>
    <row r="1514" spans="15:29" ht="12.75">
      <c r="O1514"/>
      <c r="P1514"/>
      <c r="Q1514" s="233"/>
      <c r="R1514" s="47"/>
      <c r="S1514" s="47"/>
      <c r="T1514" s="10"/>
      <c r="U1514"/>
      <c r="V1514" s="213"/>
      <c r="W1514" s="10"/>
      <c r="X1514" s="10"/>
      <c r="Y1514" s="96"/>
      <c r="Z1514"/>
      <c r="AA1514"/>
      <c r="AB1514" s="42"/>
      <c r="AC1514" s="42"/>
    </row>
    <row r="1515" spans="15:29" ht="12.75">
      <c r="O1515"/>
      <c r="P1515"/>
      <c r="Q1515" s="233"/>
      <c r="R1515" s="47"/>
      <c r="S1515" s="47"/>
      <c r="T1515" s="10"/>
      <c r="U1515"/>
      <c r="V1515" s="213"/>
      <c r="W1515" s="10"/>
      <c r="X1515" s="10"/>
      <c r="Y1515" s="96"/>
      <c r="Z1515"/>
      <c r="AA1515"/>
      <c r="AB1515" s="42"/>
      <c r="AC1515" s="42"/>
    </row>
    <row r="1516" spans="15:29" ht="12.75">
      <c r="O1516"/>
      <c r="P1516"/>
      <c r="Q1516" s="233"/>
      <c r="R1516" s="47"/>
      <c r="S1516" s="47"/>
      <c r="T1516" s="10"/>
      <c r="U1516"/>
      <c r="V1516" s="10"/>
      <c r="W1516" s="10"/>
      <c r="X1516" s="10"/>
      <c r="Y1516" s="96"/>
      <c r="Z1516"/>
      <c r="AA1516"/>
      <c r="AB1516" s="42"/>
      <c r="AC1516" s="42"/>
    </row>
    <row r="1517" spans="15:29" ht="12.75">
      <c r="O1517"/>
      <c r="P1517"/>
      <c r="Q1517" s="233"/>
      <c r="R1517" s="47"/>
      <c r="S1517" s="47"/>
      <c r="T1517" s="10"/>
      <c r="U1517"/>
      <c r="V1517" s="213"/>
      <c r="W1517" s="10"/>
      <c r="X1517" s="10"/>
      <c r="Y1517" s="96"/>
      <c r="Z1517"/>
      <c r="AA1517"/>
      <c r="AB1517" s="42"/>
      <c r="AC1517" s="42"/>
    </row>
    <row r="1518" spans="15:29" ht="12.75">
      <c r="O1518"/>
      <c r="P1518"/>
      <c r="Q1518" s="233"/>
      <c r="R1518" s="47"/>
      <c r="S1518" s="47"/>
      <c r="T1518" s="10"/>
      <c r="U1518"/>
      <c r="V1518" s="10"/>
      <c r="W1518" s="10"/>
      <c r="X1518" s="10"/>
      <c r="Y1518" s="96"/>
      <c r="Z1518"/>
      <c r="AA1518"/>
      <c r="AB1518" s="42"/>
      <c r="AC1518" s="42"/>
    </row>
    <row r="1519" spans="15:29" ht="12.75">
      <c r="O1519"/>
      <c r="P1519"/>
      <c r="Q1519" s="233"/>
      <c r="R1519" s="47"/>
      <c r="S1519" s="47"/>
      <c r="T1519" s="10"/>
      <c r="U1519"/>
      <c r="V1519" s="213"/>
      <c r="W1519" s="10"/>
      <c r="X1519" s="10"/>
      <c r="Y1519" s="96"/>
      <c r="Z1519"/>
      <c r="AA1519"/>
      <c r="AB1519" s="42"/>
      <c r="AC1519" s="42"/>
    </row>
    <row r="1520" spans="15:29" ht="12.75">
      <c r="O1520"/>
      <c r="P1520"/>
      <c r="Q1520" s="233"/>
      <c r="R1520" s="47"/>
      <c r="S1520" s="47"/>
      <c r="T1520" s="10"/>
      <c r="U1520"/>
      <c r="V1520" s="213"/>
      <c r="W1520" s="10"/>
      <c r="X1520" s="10"/>
      <c r="Y1520" s="96"/>
      <c r="Z1520"/>
      <c r="AA1520"/>
      <c r="AB1520" s="42"/>
      <c r="AC1520" s="42"/>
    </row>
    <row r="1521" spans="15:29" ht="12.75">
      <c r="O1521"/>
      <c r="P1521"/>
      <c r="Q1521" s="233"/>
      <c r="R1521" s="47"/>
      <c r="S1521" s="47"/>
      <c r="T1521" s="10"/>
      <c r="U1521"/>
      <c r="V1521" s="10"/>
      <c r="W1521" s="10"/>
      <c r="X1521" s="10"/>
      <c r="Y1521" s="96"/>
      <c r="Z1521"/>
      <c r="AA1521"/>
      <c r="AB1521" s="42"/>
      <c r="AC1521" s="42"/>
    </row>
    <row r="1522" spans="15:29" ht="12.75">
      <c r="O1522"/>
      <c r="P1522"/>
      <c r="Q1522" s="233"/>
      <c r="R1522" s="47"/>
      <c r="S1522" s="47"/>
      <c r="T1522" s="10"/>
      <c r="U1522"/>
      <c r="V1522" s="213"/>
      <c r="W1522" s="10"/>
      <c r="X1522" s="10"/>
      <c r="Y1522" s="96"/>
      <c r="Z1522"/>
      <c r="AA1522"/>
      <c r="AB1522" s="42"/>
      <c r="AC1522" s="42"/>
    </row>
    <row r="1523" spans="15:29" ht="12.75">
      <c r="O1523"/>
      <c r="P1523"/>
      <c r="Q1523" s="233"/>
      <c r="R1523" s="47"/>
      <c r="S1523" s="47"/>
      <c r="T1523" s="10"/>
      <c r="U1523"/>
      <c r="V1523" s="213"/>
      <c r="W1523" s="10"/>
      <c r="X1523" s="10"/>
      <c r="Y1523" s="96"/>
      <c r="Z1523"/>
      <c r="AA1523"/>
      <c r="AB1523" s="42"/>
      <c r="AC1523" s="42"/>
    </row>
    <row r="1524" spans="15:29" ht="12.75">
      <c r="O1524"/>
      <c r="P1524"/>
      <c r="Q1524" s="233"/>
      <c r="R1524" s="47"/>
      <c r="S1524" s="47"/>
      <c r="T1524" s="10"/>
      <c r="U1524"/>
      <c r="V1524" s="213"/>
      <c r="W1524" s="10"/>
      <c r="X1524" s="10"/>
      <c r="Y1524" s="96"/>
      <c r="Z1524"/>
      <c r="AA1524"/>
      <c r="AB1524" s="42"/>
      <c r="AC1524" s="42"/>
    </row>
    <row r="1525" spans="15:29" ht="12.75">
      <c r="O1525"/>
      <c r="P1525"/>
      <c r="Q1525" s="233"/>
      <c r="R1525" s="47"/>
      <c r="S1525" s="47"/>
      <c r="T1525" s="10"/>
      <c r="U1525"/>
      <c r="V1525" s="10"/>
      <c r="W1525" s="10"/>
      <c r="X1525" s="10"/>
      <c r="Y1525" s="96"/>
      <c r="Z1525"/>
      <c r="AA1525"/>
      <c r="AB1525" s="42"/>
      <c r="AC1525" s="42"/>
    </row>
    <row r="1526" spans="15:29" ht="12.75">
      <c r="O1526"/>
      <c r="P1526"/>
      <c r="Q1526" s="233"/>
      <c r="R1526" s="47"/>
      <c r="S1526" s="47"/>
      <c r="T1526" s="10"/>
      <c r="U1526"/>
      <c r="V1526" s="10"/>
      <c r="W1526" s="10"/>
      <c r="X1526" s="10"/>
      <c r="Y1526" s="96"/>
      <c r="Z1526"/>
      <c r="AA1526"/>
      <c r="AB1526" s="42"/>
      <c r="AC1526" s="42"/>
    </row>
    <row r="1530" spans="15:45" ht="12.75">
      <c r="O1530" s="202" t="s">
        <v>5017</v>
      </c>
      <c r="P1530" s="203" t="s">
        <v>5018</v>
      </c>
      <c r="Q1530" s="203" t="s">
        <v>5019</v>
      </c>
      <c r="R1530" s="257" t="s">
        <v>5014</v>
      </c>
      <c r="S1530" s="253" t="s">
        <v>5015</v>
      </c>
      <c r="T1530" s="204" t="s">
        <v>3449</v>
      </c>
      <c r="U1530" s="204" t="s">
        <v>5016</v>
      </c>
      <c r="V1530" s="204" t="s">
        <v>3446</v>
      </c>
      <c r="W1530" s="204" t="s">
        <v>3437</v>
      </c>
      <c r="X1530" s="204" t="s">
        <v>3448</v>
      </c>
      <c r="Y1530" s="204" t="s">
        <v>3452</v>
      </c>
      <c r="Z1530" s="204" t="s">
        <v>5020</v>
      </c>
      <c r="AA1530" s="204" t="s">
        <v>5021</v>
      </c>
      <c r="AB1530" s="204" t="s">
        <v>5022</v>
      </c>
      <c r="AC1530" s="205" t="s">
        <v>5023</v>
      </c>
      <c r="AE1530" s="202" t="s">
        <v>5017</v>
      </c>
      <c r="AF1530" s="203" t="s">
        <v>5018</v>
      </c>
      <c r="AG1530" s="203" t="s">
        <v>5019</v>
      </c>
      <c r="AH1530" s="211" t="s">
        <v>5014</v>
      </c>
      <c r="AI1530" s="204" t="s">
        <v>5015</v>
      </c>
      <c r="AJ1530" s="204" t="s">
        <v>3449</v>
      </c>
      <c r="AK1530" s="204" t="s">
        <v>5016</v>
      </c>
      <c r="AL1530" s="204" t="s">
        <v>3446</v>
      </c>
      <c r="AM1530" s="253" t="s">
        <v>3437</v>
      </c>
      <c r="AN1530" s="253" t="s">
        <v>3448</v>
      </c>
      <c r="AO1530" s="204" t="s">
        <v>3452</v>
      </c>
      <c r="AP1530" s="204" t="s">
        <v>5020</v>
      </c>
      <c r="AQ1530" s="204" t="s">
        <v>5021</v>
      </c>
      <c r="AR1530" s="204" t="s">
        <v>5022</v>
      </c>
      <c r="AS1530" s="205" t="s">
        <v>5023</v>
      </c>
    </row>
    <row r="1531" spans="15:45" ht="12.75">
      <c r="O1531" s="206" t="s">
        <v>4774</v>
      </c>
      <c r="P1531" s="94" t="s">
        <v>3571</v>
      </c>
      <c r="Q1531" s="180">
        <v>72710</v>
      </c>
      <c r="R1531" s="258">
        <v>800</v>
      </c>
      <c r="S1531" s="259">
        <v>42</v>
      </c>
      <c r="T1531" s="213" t="s">
        <v>4994</v>
      </c>
      <c r="U1531" s="213">
        <v>3</v>
      </c>
      <c r="V1531" s="213" t="s">
        <v>3443</v>
      </c>
      <c r="W1531" s="213" t="s">
        <v>3572</v>
      </c>
      <c r="X1531" s="213" t="s">
        <v>3441</v>
      </c>
      <c r="Y1531" s="213" t="s">
        <v>4995</v>
      </c>
      <c r="Z1531" s="213" t="s">
        <v>5026</v>
      </c>
      <c r="AA1531" s="213">
        <v>36</v>
      </c>
      <c r="AB1531" s="213">
        <v>42</v>
      </c>
      <c r="AC1531" s="207" t="s">
        <v>4530</v>
      </c>
      <c r="AE1531" s="206" t="s">
        <v>2338</v>
      </c>
      <c r="AF1531" s="94" t="s">
        <v>1542</v>
      </c>
      <c r="AG1531" s="180">
        <v>24138</v>
      </c>
      <c r="AH1531" s="258" t="s">
        <v>1540</v>
      </c>
      <c r="AI1531" s="259" t="s">
        <v>1540</v>
      </c>
      <c r="AJ1531" s="213" t="s">
        <v>4994</v>
      </c>
      <c r="AK1531" s="213">
        <v>3</v>
      </c>
      <c r="AL1531" s="213" t="s">
        <v>3443</v>
      </c>
      <c r="AM1531" s="213" t="s">
        <v>3361</v>
      </c>
      <c r="AN1531" s="213" t="s">
        <v>1540</v>
      </c>
      <c r="AO1531" s="213" t="s">
        <v>1540</v>
      </c>
      <c r="AP1531" s="213" t="s">
        <v>1540</v>
      </c>
      <c r="AQ1531" s="213" t="s">
        <v>1540</v>
      </c>
      <c r="AR1531" s="213" t="s">
        <v>1540</v>
      </c>
      <c r="AS1531" s="207" t="s">
        <v>1540</v>
      </c>
    </row>
    <row r="1532" spans="31:45" ht="12.75">
      <c r="AE1532" s="206"/>
      <c r="AF1532" s="94"/>
      <c r="AG1532" s="180"/>
      <c r="AH1532" s="212"/>
      <c r="AI1532" s="213"/>
      <c r="AJ1532" s="213"/>
      <c r="AK1532" s="213"/>
      <c r="AL1532" s="213"/>
      <c r="AM1532" s="213"/>
      <c r="AN1532" s="213"/>
      <c r="AO1532" s="213"/>
      <c r="AP1532" s="213"/>
      <c r="AQ1532" s="213"/>
      <c r="AR1532" s="213"/>
      <c r="AS1532" s="207"/>
    </row>
  </sheetData>
  <conditionalFormatting sqref="G4">
    <cfRule type="cellIs" priority="1" dxfId="0" operator="equal" stopIfTrue="1">
      <formula>"Zadej svorky!"</formula>
    </cfRule>
  </conditionalFormatting>
  <conditionalFormatting sqref="C14">
    <cfRule type="cellIs" priority="2" dxfId="0" operator="equal" stopIfTrue="1">
      <formula>"Pouze s cívkou YU!"</formula>
    </cfRule>
  </conditionalFormatting>
  <conditionalFormatting sqref="G10">
    <cfRule type="cellIs" priority="3" dxfId="0" operator="equal" stopIfTrue="1">
      <formula>"Poz. kont. - Jen výsuvné!"</formula>
    </cfRule>
  </conditionalFormatting>
  <conditionalFormatting sqref="G13:G14">
    <cfRule type="cellIs" priority="4" dxfId="0" operator="equal" stopIfTrue="1">
      <formula>"Jen jednu možnost!"</formula>
    </cfRule>
  </conditionalFormatting>
  <conditionalFormatting sqref="G15">
    <cfRule type="cellIs" priority="5" dxfId="0" operator="equal" stopIfTrue="1">
      <formula>"Blok. poloh - Jen výsuvné!"</formula>
    </cfRule>
  </conditionalFormatting>
  <conditionalFormatting sqref="G16">
    <cfRule type="cellIs" priority="6" dxfId="0" operator="equal" stopIfTrue="1">
      <formula>"Jen s položkou výše!"</formula>
    </cfRule>
  </conditionalFormatting>
  <conditionalFormatting sqref="G17">
    <cfRule type="cellIs" priority="7" dxfId="0" operator="equal" stopIfTrue="1">
      <formula>"Blok. clon - Jen výsuvné!"</formula>
    </cfRule>
  </conditionalFormatting>
  <conditionalFormatting sqref="G2">
    <cfRule type="expression" priority="8" dxfId="1" stopIfTrue="1">
      <formula>Q10=1</formula>
    </cfRule>
  </conditionalFormatting>
  <conditionalFormatting sqref="C2">
    <cfRule type="expression" priority="9" dxfId="1" stopIfTrue="1">
      <formula>Q10=2</formula>
    </cfRule>
  </conditionalFormatting>
  <conditionalFormatting sqref="C4">
    <cfRule type="expression" priority="10" dxfId="0" stopIfTrue="1">
      <formula>V4=0</formula>
    </cfRule>
  </conditionalFormatting>
  <conditionalFormatting sqref="G6">
    <cfRule type="expression" priority="11" dxfId="0" stopIfTrue="1">
      <formula>S25=TRUE</formula>
    </cfRule>
  </conditionalFormatting>
  <conditionalFormatting sqref="C18">
    <cfRule type="expression" priority="12" dxfId="0" stopIfTrue="1">
      <formula>BN11</formula>
    </cfRule>
  </conditionalFormatting>
  <conditionalFormatting sqref="C16 DH11">
    <cfRule type="expression" priority="13" dxfId="0" stopIfTrue="1">
      <formula>DH4</formula>
    </cfRule>
  </conditionalFormatting>
  <conditionalFormatting sqref="C17">
    <cfRule type="expression" priority="14" dxfId="0" stopIfTrue="1">
      <formula>DH27</formula>
    </cfRule>
  </conditionalFormatting>
  <conditionalFormatting sqref="D2">
    <cfRule type="expression" priority="15" dxfId="1" stopIfTrue="1">
      <formula>Q10=2</formula>
    </cfRule>
  </conditionalFormatting>
  <conditionalFormatting sqref="C13">
    <cfRule type="expression" priority="16" dxfId="0" stopIfTrue="1">
      <formula>$BG$9=TRUE</formula>
    </cfRule>
  </conditionalFormatting>
  <conditionalFormatting sqref="D8:H9">
    <cfRule type="expression" priority="17" dxfId="0" stopIfTrue="1">
      <formula>$BG$12=TRUE</formula>
    </cfRule>
  </conditionalFormatting>
  <conditionalFormatting sqref="C19">
    <cfRule type="expression" priority="18" dxfId="2" stopIfTrue="1">
      <formula>DX2=TRUE</formula>
    </cfRule>
  </conditionalFormatting>
  <conditionalFormatting sqref="D19">
    <cfRule type="expression" priority="19" dxfId="2" stopIfTrue="1">
      <formula>DX2=TRUE</formula>
    </cfRule>
  </conditionalFormatting>
  <conditionalFormatting sqref="G18">
    <cfRule type="expression" priority="20" dxfId="2" stopIfTrue="1">
      <formula>DX3=TRUE</formula>
    </cfRule>
  </conditionalFormatting>
  <conditionalFormatting sqref="H18">
    <cfRule type="expression" priority="21" dxfId="2" stopIfTrue="1">
      <formula>DX3=TRUE</formula>
    </cfRule>
  </conditionalFormatting>
  <conditionalFormatting sqref="C20">
    <cfRule type="expression" priority="22" dxfId="2" stopIfTrue="1">
      <formula>DX4=TRUE</formula>
    </cfRule>
  </conditionalFormatting>
  <conditionalFormatting sqref="E20">
    <cfRule type="expression" priority="23" dxfId="2" stopIfTrue="1">
      <formula>DX4=TRUE</formula>
    </cfRule>
  </conditionalFormatting>
  <conditionalFormatting sqref="F20">
    <cfRule type="expression" priority="24" dxfId="2" stopIfTrue="1">
      <formula>DX4=TRUE</formula>
    </cfRule>
  </conditionalFormatting>
  <conditionalFormatting sqref="G20">
    <cfRule type="expression" priority="25" dxfId="2" stopIfTrue="1">
      <formula>DX4=TRUE</formula>
    </cfRule>
  </conditionalFormatting>
  <conditionalFormatting sqref="H20">
    <cfRule type="expression" priority="26" dxfId="2" stopIfTrue="1">
      <formula>DX4=TRUE</formula>
    </cfRule>
  </conditionalFormatting>
  <conditionalFormatting sqref="D20">
    <cfRule type="expression" priority="27" dxfId="3" stopIfTrue="1">
      <formula>DX4=TRUE</formula>
    </cfRule>
  </conditionalFormatting>
  <conditionalFormatting sqref="D21">
    <cfRule type="expression" priority="28" dxfId="4" stopIfTrue="1">
      <formula>DQ2=TRUE</formula>
    </cfRule>
  </conditionalFormatting>
  <conditionalFormatting sqref="C21">
    <cfRule type="expression" priority="29" dxfId="4" stopIfTrue="1">
      <formula>DQ2=TRUE</formula>
    </cfRule>
  </conditionalFormatting>
  <conditionalFormatting sqref="B21">
    <cfRule type="expression" priority="30" dxfId="4" stopIfTrue="1">
      <formula>DQ2=TRUE</formula>
    </cfRule>
  </conditionalFormatting>
  <conditionalFormatting sqref="I27">
    <cfRule type="expression" priority="31" dxfId="0" stopIfTrue="1">
      <formula>O30=TRUE</formula>
    </cfRule>
  </conditionalFormatting>
  <conditionalFormatting sqref="C27">
    <cfRule type="expression" priority="32" dxfId="0" stopIfTrue="1">
      <formula>Q30=TRUE</formula>
    </cfRule>
  </conditionalFormatting>
  <conditionalFormatting sqref="C28">
    <cfRule type="expression" priority="33" dxfId="0" stopIfTrue="1">
      <formula>R32=TRUE</formula>
    </cfRule>
  </conditionalFormatting>
  <conditionalFormatting sqref="D28">
    <cfRule type="expression" priority="34" dxfId="0" stopIfTrue="1">
      <formula>R32=TRUE</formula>
    </cfRule>
  </conditionalFormatting>
  <conditionalFormatting sqref="D27">
    <cfRule type="expression" priority="35" dxfId="0" stopIfTrue="1">
      <formula>Q30=TRUE</formula>
    </cfRule>
  </conditionalFormatting>
  <conditionalFormatting sqref="C29">
    <cfRule type="expression" priority="36" dxfId="0" stopIfTrue="1">
      <formula>EB22=TRUE</formula>
    </cfRule>
  </conditionalFormatting>
  <conditionalFormatting sqref="D29">
    <cfRule type="expression" priority="37" dxfId="0" stopIfTrue="1">
      <formula>EB22=TRUE</formula>
    </cfRule>
  </conditionalFormatting>
  <conditionalFormatting sqref="G7">
    <cfRule type="expression" priority="38" dxfId="0" stopIfTrue="1">
      <formula>$EO$13=TRUE</formula>
    </cfRule>
  </conditionalFormatting>
  <conditionalFormatting sqref="C30">
    <cfRule type="expression" priority="39" dxfId="0" stopIfTrue="1">
      <formula>EU12=TRUE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65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16.25390625" style="0" customWidth="1"/>
    <col min="4" max="4" width="2.875" style="0" customWidth="1"/>
    <col min="5" max="5" width="36.75390625" style="0" customWidth="1"/>
    <col min="6" max="6" width="6.125" style="0" customWidth="1"/>
    <col min="7" max="7" width="16.875" style="0" customWidth="1"/>
  </cols>
  <sheetData>
    <row r="1" spans="2:5" ht="20.25">
      <c r="B1" s="59" t="s">
        <v>2816</v>
      </c>
      <c r="C1" s="44"/>
      <c r="E1" s="88" t="s">
        <v>4919</v>
      </c>
    </row>
    <row r="2" spans="1:7" ht="12.75">
      <c r="A2" s="11"/>
      <c r="B2" s="61"/>
      <c r="C2" s="57"/>
      <c r="D2" s="11"/>
      <c r="E2" s="11"/>
      <c r="F2" s="58"/>
      <c r="G2" s="11"/>
    </row>
    <row r="3" spans="1:7" ht="12.75">
      <c r="A3" s="11"/>
      <c r="B3" s="72" t="s">
        <v>1110</v>
      </c>
      <c r="C3" s="57"/>
      <c r="D3" s="11"/>
      <c r="E3" s="11"/>
      <c r="F3" s="58"/>
      <c r="G3" s="11"/>
    </row>
    <row r="4" spans="1:7" ht="12.75">
      <c r="A4" s="11"/>
      <c r="B4" s="61"/>
      <c r="C4" s="57"/>
      <c r="D4" s="11"/>
      <c r="E4" s="11"/>
      <c r="F4" s="58"/>
      <c r="G4" s="11"/>
    </row>
    <row r="5" spans="2:7" s="51" customFormat="1" ht="12">
      <c r="B5" s="80" t="s">
        <v>2808</v>
      </c>
      <c r="C5" s="80" t="s">
        <v>5017</v>
      </c>
      <c r="D5" s="52" t="s">
        <v>4531</v>
      </c>
      <c r="E5" s="52"/>
      <c r="F5" s="54"/>
      <c r="G5" s="128" t="s">
        <v>2809</v>
      </c>
    </row>
    <row r="6" spans="2:7" s="51" customFormat="1" ht="12">
      <c r="B6" s="63"/>
      <c r="C6" s="64"/>
      <c r="F6" s="65"/>
      <c r="G6" s="129"/>
    </row>
    <row r="7" spans="2:7" s="51" customFormat="1" ht="12">
      <c r="B7" s="234" t="str">
        <f>IF('1-výběr'!Q10=1,"Jistič včetně příslušenství","Odpínač včetně příslušenství")</f>
        <v>Jistič včetně příslušenství</v>
      </c>
      <c r="C7" s="64"/>
      <c r="F7" s="65"/>
      <c r="G7" s="129"/>
    </row>
    <row r="8" spans="2:7" s="51" customFormat="1" ht="12">
      <c r="B8" s="81" t="s">
        <v>4723</v>
      </c>
      <c r="C8" s="84">
        <f>'1-výběr'!J4</f>
      </c>
      <c r="D8" s="51">
        <f>'1-výběr'!K4</f>
      </c>
      <c r="F8" s="53"/>
      <c r="G8" s="129">
        <f>'1-výběr'!L4</f>
      </c>
    </row>
    <row r="9" spans="2:7" s="51" customFormat="1" ht="12">
      <c r="B9" s="82">
        <f>'1-výběr'!CJ39</f>
      </c>
      <c r="C9" s="85">
        <f>'1-výběr'!CK39</f>
        <v>0</v>
      </c>
      <c r="D9" s="68">
        <f>'1-výběr'!CL39</f>
        <v>0</v>
      </c>
      <c r="F9" s="53"/>
      <c r="G9" s="129">
        <f>'1-výběr'!G44</f>
        <v>0</v>
      </c>
    </row>
    <row r="10" spans="2:7" s="51" customFormat="1" ht="12">
      <c r="B10" s="82">
        <f>'1-výběr'!CJ40</f>
      </c>
      <c r="C10" s="85">
        <f>'1-výběr'!CK40</f>
        <v>0</v>
      </c>
      <c r="D10" s="68">
        <f>'1-výběr'!CL40</f>
        <v>0</v>
      </c>
      <c r="F10" s="53"/>
      <c r="G10" s="129">
        <f>'1-výběr'!G45</f>
        <v>0</v>
      </c>
    </row>
    <row r="11" spans="2:7" s="51" customFormat="1" ht="12">
      <c r="B11" s="82">
        <f>'1-výběr'!CJ41</f>
      </c>
      <c r="C11" s="85">
        <f>'1-výběr'!CK41</f>
        <v>0</v>
      </c>
      <c r="D11" s="68">
        <f>'1-výběr'!CL41</f>
        <v>0</v>
      </c>
      <c r="F11" s="53"/>
      <c r="G11" s="129">
        <f>'1-výběr'!G46</f>
        <v>0</v>
      </c>
    </row>
    <row r="12" spans="2:7" s="51" customFormat="1" ht="12">
      <c r="B12" s="82">
        <f>'1-výběr'!CJ42</f>
      </c>
      <c r="C12" s="85">
        <f>'1-výběr'!CK42</f>
        <v>0</v>
      </c>
      <c r="D12" s="68">
        <f>'1-výběr'!CL42</f>
        <v>0</v>
      </c>
      <c r="F12" s="53"/>
      <c r="G12" s="129">
        <f>'1-výběr'!G47</f>
        <v>0</v>
      </c>
    </row>
    <row r="13" spans="2:7" s="51" customFormat="1" ht="12">
      <c r="B13" s="82">
        <f>'1-výběr'!CJ43</f>
      </c>
      <c r="C13" s="85">
        <f>'1-výběr'!CK43</f>
        <v>0</v>
      </c>
      <c r="D13" s="68">
        <f>'1-výběr'!CL43</f>
        <v>0</v>
      </c>
      <c r="F13" s="53"/>
      <c r="G13" s="129">
        <f>'1-výběr'!G48</f>
        <v>0</v>
      </c>
    </row>
    <row r="14" spans="2:7" s="51" customFormat="1" ht="12">
      <c r="B14" s="82">
        <f>'1-výběr'!CJ44</f>
      </c>
      <c r="C14" s="85">
        <f>'1-výběr'!CK44</f>
        <v>0</v>
      </c>
      <c r="D14" s="68">
        <f>'1-výběr'!CL44</f>
        <v>0</v>
      </c>
      <c r="F14" s="53"/>
      <c r="G14" s="129">
        <f>'1-výběr'!G49</f>
        <v>0</v>
      </c>
    </row>
    <row r="15" spans="2:7" s="51" customFormat="1" ht="12">
      <c r="B15" s="82">
        <f>'1-výběr'!CJ45</f>
      </c>
      <c r="C15" s="85">
        <f>'1-výběr'!CK45</f>
        <v>0</v>
      </c>
      <c r="D15" s="68">
        <f>'1-výběr'!CL45</f>
        <v>0</v>
      </c>
      <c r="F15" s="53"/>
      <c r="G15" s="129">
        <f>'1-výběr'!G50</f>
        <v>0</v>
      </c>
    </row>
    <row r="16" spans="2:7" s="51" customFormat="1" ht="12">
      <c r="B16" s="82">
        <f>'1-výběr'!CJ46</f>
      </c>
      <c r="C16" s="85">
        <f>'1-výběr'!CK46</f>
        <v>0</v>
      </c>
      <c r="D16" s="68">
        <f>'1-výběr'!CL46</f>
        <v>0</v>
      </c>
      <c r="F16" s="53"/>
      <c r="G16" s="129">
        <f>'1-výběr'!G51</f>
        <v>0</v>
      </c>
    </row>
    <row r="17" spans="2:7" s="51" customFormat="1" ht="12">
      <c r="B17" s="82">
        <f>'1-výběr'!CJ47</f>
      </c>
      <c r="C17" s="85">
        <f>'1-výběr'!CK47</f>
        <v>0</v>
      </c>
      <c r="D17" s="68">
        <f>'1-výběr'!CL47</f>
        <v>0</v>
      </c>
      <c r="F17" s="53"/>
      <c r="G17" s="129">
        <f>'1-výběr'!G52</f>
        <v>0</v>
      </c>
    </row>
    <row r="18" spans="2:7" s="51" customFormat="1" ht="12">
      <c r="B18" s="82">
        <f>'1-výběr'!CJ48</f>
      </c>
      <c r="C18" s="85">
        <f>'1-výběr'!CK48</f>
        <v>0</v>
      </c>
      <c r="D18" s="68">
        <f>'1-výběr'!CL48</f>
        <v>0</v>
      </c>
      <c r="F18" s="53"/>
      <c r="G18" s="129">
        <f>'1-výběr'!G53</f>
        <v>0</v>
      </c>
    </row>
    <row r="19" spans="2:7" s="51" customFormat="1" ht="12">
      <c r="B19" s="82">
        <f>'1-výběr'!CJ49</f>
      </c>
      <c r="C19" s="85">
        <f>'1-výběr'!CK49</f>
        <v>0</v>
      </c>
      <c r="D19" s="68">
        <f>'1-výběr'!CL49</f>
        <v>0</v>
      </c>
      <c r="F19" s="53"/>
      <c r="G19" s="129">
        <f>'1-výběr'!G54</f>
        <v>0</v>
      </c>
    </row>
    <row r="20" spans="2:7" s="51" customFormat="1" ht="12">
      <c r="B20" s="82">
        <f>'1-výběr'!CJ50</f>
      </c>
      <c r="C20" s="85">
        <f>'1-výběr'!CK50</f>
        <v>0</v>
      </c>
      <c r="D20" s="68">
        <f>'1-výběr'!CL50</f>
        <v>0</v>
      </c>
      <c r="F20" s="53"/>
      <c r="G20" s="129">
        <f>'1-výběr'!G55</f>
        <v>0</v>
      </c>
    </row>
    <row r="21" spans="2:7" s="51" customFormat="1" ht="12">
      <c r="B21" s="82">
        <f>'1-výběr'!CJ51</f>
      </c>
      <c r="C21" s="82">
        <f>'1-výběr'!CK51</f>
        <v>0</v>
      </c>
      <c r="D21" s="68">
        <f>'1-výběr'!CL51</f>
        <v>0</v>
      </c>
      <c r="F21" s="53"/>
      <c r="G21" s="129">
        <f>'1-výběr'!G56</f>
        <v>0</v>
      </c>
    </row>
    <row r="22" spans="2:7" s="51" customFormat="1" ht="12">
      <c r="B22" s="82">
        <f>'1-výběr'!CJ52</f>
      </c>
      <c r="C22" s="82">
        <f>'1-výběr'!CK52</f>
        <v>0</v>
      </c>
      <c r="D22" s="91">
        <f>'1-výběr'!CL52</f>
        <v>0</v>
      </c>
      <c r="E22" s="92"/>
      <c r="F22" s="53"/>
      <c r="G22" s="131">
        <f>'1-výběr'!G57</f>
        <v>0</v>
      </c>
    </row>
    <row r="23" spans="2:7" s="51" customFormat="1" ht="12">
      <c r="B23" s="328">
        <f>'1-výběr'!CJ53</f>
      </c>
      <c r="C23" s="328">
        <f>'1-výběr'!CK53</f>
        <v>0</v>
      </c>
      <c r="D23" s="51">
        <f>'1-výběr'!CL53</f>
        <v>0</v>
      </c>
      <c r="F23" s="328"/>
      <c r="G23" s="51">
        <f>'1-výběr'!G58</f>
        <v>0</v>
      </c>
    </row>
    <row r="24" spans="2:7" s="51" customFormat="1" ht="12">
      <c r="B24" s="82">
        <f>'1-výběr'!CJ54</f>
      </c>
      <c r="C24" s="85">
        <f>'1-výběr'!CK54</f>
        <v>0</v>
      </c>
      <c r="D24" s="91">
        <f>'1-výběr'!CL54</f>
        <v>0</v>
      </c>
      <c r="E24" s="92"/>
      <c r="F24" s="53"/>
      <c r="G24" s="131">
        <f>'1-výběr'!G59</f>
        <v>0</v>
      </c>
    </row>
    <row r="25" spans="2:7" s="51" customFormat="1" ht="12">
      <c r="B25" s="83">
        <f>'1-výběr'!CJ55</f>
      </c>
      <c r="C25" s="86">
        <f>'1-výběr'!CK55</f>
        <v>0</v>
      </c>
      <c r="D25" s="79">
        <f>'1-výběr'!CL55</f>
        <v>0</v>
      </c>
      <c r="E25" s="52"/>
      <c r="F25" s="54"/>
      <c r="G25" s="130">
        <f>'1-výběr'!G60</f>
        <v>0</v>
      </c>
    </row>
    <row r="26" spans="2:7" s="51" customFormat="1" ht="12">
      <c r="B26" s="91" t="s">
        <v>4901</v>
      </c>
      <c r="C26" s="91"/>
      <c r="D26" s="91" t="str">
        <f>'1-výběr'!CK2</f>
        <v> </v>
      </c>
      <c r="E26" s="92"/>
      <c r="F26" s="93"/>
      <c r="G26" s="131"/>
    </row>
    <row r="27" spans="2:7" s="51" customFormat="1" ht="12">
      <c r="B27" s="67"/>
      <c r="C27" s="90"/>
      <c r="E27" s="71" t="s">
        <v>2844</v>
      </c>
      <c r="F27" s="70"/>
      <c r="G27" s="132">
        <f>SUM(G8:G26)</f>
        <v>0</v>
      </c>
    </row>
    <row r="28" spans="2:7" s="51" customFormat="1" ht="12">
      <c r="B28" s="67"/>
      <c r="C28" s="64"/>
      <c r="F28" s="65"/>
      <c r="G28" s="129"/>
    </row>
    <row r="29" spans="2:7" s="51" customFormat="1" ht="12">
      <c r="B29" s="75" t="s">
        <v>4724</v>
      </c>
      <c r="C29" s="64"/>
      <c r="F29" s="65"/>
      <c r="G29" s="129"/>
    </row>
    <row r="30" spans="2:7" s="51" customFormat="1" ht="12">
      <c r="B30" s="81" t="s">
        <v>4725</v>
      </c>
      <c r="C30" s="87">
        <f>'1-výběr'!J6</f>
      </c>
      <c r="D30" s="51">
        <f>'1-výběr'!K6</f>
      </c>
      <c r="F30" s="53"/>
      <c r="G30" s="133">
        <f>'1-výběr'!L6</f>
      </c>
    </row>
    <row r="31" spans="2:7" s="51" customFormat="1" ht="12">
      <c r="B31" s="82">
        <f>'1-výběr'!CR39</f>
      </c>
      <c r="C31" s="85">
        <f>'1-výběr'!CS39</f>
        <v>0</v>
      </c>
      <c r="D31" s="68">
        <f>'1-výběr'!CT39</f>
        <v>0</v>
      </c>
      <c r="F31" s="53"/>
      <c r="G31" s="129">
        <f>'1-výběr'!J44</f>
        <v>0</v>
      </c>
    </row>
    <row r="32" spans="2:7" s="51" customFormat="1" ht="12">
      <c r="B32" s="82">
        <f>'1-výběr'!CR40</f>
      </c>
      <c r="C32" s="82">
        <f>'1-výběr'!CS40</f>
        <v>0</v>
      </c>
      <c r="D32" s="91">
        <f>'1-výběr'!CT40</f>
        <v>0</v>
      </c>
      <c r="E32" s="92"/>
      <c r="F32" s="53"/>
      <c r="G32" s="131">
        <f>'1-výběr'!J45</f>
        <v>0</v>
      </c>
    </row>
    <row r="33" spans="2:7" s="51" customFormat="1" ht="12">
      <c r="B33" s="83">
        <f>'1-výběr'!CR41</f>
      </c>
      <c r="C33" s="86">
        <f>'1-výběr'!CS41</f>
        <v>0</v>
      </c>
      <c r="D33" s="79">
        <f>'1-výběr'!CT41</f>
        <v>0</v>
      </c>
      <c r="E33" s="52"/>
      <c r="F33" s="54"/>
      <c r="G33" s="130">
        <f>'1-výběr'!J46</f>
        <v>0</v>
      </c>
    </row>
    <row r="34" spans="2:7" s="51" customFormat="1" ht="12">
      <c r="B34" s="91" t="s">
        <v>4901</v>
      </c>
      <c r="C34" s="91"/>
      <c r="D34" s="91" t="str">
        <f>'1-výběr'!CM2</f>
        <v> </v>
      </c>
      <c r="E34" s="92"/>
      <c r="F34" s="93"/>
      <c r="G34" s="131"/>
    </row>
    <row r="35" spans="2:7" s="51" customFormat="1" ht="12">
      <c r="B35" s="68"/>
      <c r="C35" s="66"/>
      <c r="E35" s="71" t="s">
        <v>2844</v>
      </c>
      <c r="F35" s="65"/>
      <c r="G35" s="132">
        <f>SUM(G30:G34)</f>
        <v>0</v>
      </c>
    </row>
    <row r="36" spans="2:7" s="51" customFormat="1" ht="12">
      <c r="B36" s="68"/>
      <c r="C36" s="64"/>
      <c r="F36" s="65"/>
      <c r="G36" s="129"/>
    </row>
    <row r="37" spans="2:7" s="51" customFormat="1" ht="12">
      <c r="B37" s="75" t="s">
        <v>2807</v>
      </c>
      <c r="C37" s="64"/>
      <c r="F37" s="65"/>
      <c r="G37" s="129"/>
    </row>
    <row r="38" spans="2:7" s="51" customFormat="1" ht="12">
      <c r="B38" s="82">
        <f>'1-výběr'!CZ39</f>
      </c>
      <c r="C38" s="85">
        <f>'1-výběr'!DA39</f>
        <v>0</v>
      </c>
      <c r="D38" s="68">
        <f>'1-výběr'!DB39</f>
        <v>0</v>
      </c>
      <c r="F38" s="53"/>
      <c r="G38" s="129">
        <f>'1-výběr'!L44</f>
        <v>0</v>
      </c>
    </row>
    <row r="39" spans="2:7" s="51" customFormat="1" ht="12">
      <c r="B39" s="82">
        <f>'1-výběr'!CZ40</f>
      </c>
      <c r="C39" s="85">
        <f>'1-výběr'!DA40</f>
        <v>0</v>
      </c>
      <c r="D39" s="68">
        <f>'1-výběr'!DB40</f>
        <v>0</v>
      </c>
      <c r="F39" s="53"/>
      <c r="G39" s="129">
        <f>'1-výběr'!L45</f>
        <v>0</v>
      </c>
    </row>
    <row r="40" spans="1:7" ht="12.75">
      <c r="A40" s="11"/>
      <c r="B40" s="82">
        <f>'1-výběr'!CZ41</f>
      </c>
      <c r="C40" s="85">
        <f>'1-výběr'!DA41</f>
        <v>0</v>
      </c>
      <c r="D40" s="91">
        <f>'1-výběr'!DB41</f>
        <v>0</v>
      </c>
      <c r="E40" s="92"/>
      <c r="F40" s="53"/>
      <c r="G40" s="131">
        <f>'1-výběr'!L46</f>
        <v>0</v>
      </c>
    </row>
    <row r="41" spans="1:7" ht="12.75">
      <c r="A41" s="11"/>
      <c r="B41" s="83">
        <f>'1-výběr'!CZ42</f>
      </c>
      <c r="C41" s="86">
        <f>'1-výběr'!DA42</f>
        <v>0</v>
      </c>
      <c r="D41" s="79">
        <f>'1-výběr'!DB42</f>
        <v>0</v>
      </c>
      <c r="E41" s="52"/>
      <c r="F41" s="54"/>
      <c r="G41" s="130">
        <f>'1-výběr'!L47</f>
        <v>0</v>
      </c>
    </row>
    <row r="42" spans="1:7" ht="12.75">
      <c r="A42" s="11"/>
      <c r="B42" s="67"/>
      <c r="C42" s="64"/>
      <c r="D42" s="51"/>
      <c r="E42" s="71" t="s">
        <v>2844</v>
      </c>
      <c r="F42" s="65"/>
      <c r="G42" s="132">
        <f>SUM(G38:G41)</f>
        <v>0</v>
      </c>
    </row>
    <row r="43" spans="1:7" ht="12.75">
      <c r="A43" s="11"/>
      <c r="B43" s="62"/>
      <c r="C43" s="57"/>
      <c r="D43" s="11"/>
      <c r="E43" s="11"/>
      <c r="F43" s="58"/>
      <c r="G43" s="11"/>
    </row>
    <row r="44" spans="1:7" ht="12.75">
      <c r="A44" s="11"/>
      <c r="B44" s="62"/>
      <c r="C44" s="57"/>
      <c r="D44" s="11"/>
      <c r="E44" s="15" t="s">
        <v>2810</v>
      </c>
      <c r="F44" s="69"/>
      <c r="G44" s="136">
        <f>SUM(G42,G35,G27)</f>
        <v>0</v>
      </c>
    </row>
    <row r="45" spans="1:7" ht="12.75">
      <c r="A45" s="11"/>
      <c r="B45" s="62"/>
      <c r="C45" s="57"/>
      <c r="D45" s="11"/>
      <c r="E45" s="15" t="s">
        <v>2843</v>
      </c>
      <c r="F45" s="69"/>
      <c r="G45" s="15">
        <v>1</v>
      </c>
    </row>
    <row r="46" spans="1:7" ht="12.75">
      <c r="A46" s="11"/>
      <c r="B46" s="62"/>
      <c r="C46" s="57"/>
      <c r="D46" s="11"/>
      <c r="E46" s="15" t="s">
        <v>2844</v>
      </c>
      <c r="F46" s="69"/>
      <c r="G46" s="136">
        <f>G45*G44</f>
        <v>0</v>
      </c>
    </row>
    <row r="47" spans="1:7" ht="12.75">
      <c r="A47" s="11"/>
      <c r="B47" s="62"/>
      <c r="C47" s="57"/>
      <c r="D47" s="11"/>
      <c r="E47" s="15" t="s">
        <v>2812</v>
      </c>
      <c r="F47" s="69"/>
      <c r="G47" s="73">
        <f>'1-výběr'!P37</f>
        <v>0</v>
      </c>
    </row>
    <row r="48" spans="1:7" ht="12.75">
      <c r="A48" s="16"/>
      <c r="B48" s="99"/>
      <c r="C48" s="100"/>
      <c r="D48" s="16"/>
      <c r="E48" s="17"/>
      <c r="F48" s="101"/>
      <c r="G48" s="137"/>
    </row>
    <row r="49" spans="1:7" ht="12.75">
      <c r="A49" s="11"/>
      <c r="B49" s="62"/>
      <c r="C49" s="57"/>
      <c r="D49" s="11"/>
      <c r="E49" s="15"/>
      <c r="F49" s="69"/>
      <c r="G49" s="74"/>
    </row>
    <row r="50" spans="1:7" ht="12.75">
      <c r="A50" s="11"/>
      <c r="B50" s="62"/>
      <c r="C50" s="57"/>
      <c r="D50" s="11"/>
      <c r="E50" s="17"/>
      <c r="F50" s="69"/>
      <c r="G50" s="74"/>
    </row>
    <row r="51" spans="1:7" ht="12.75">
      <c r="A51" s="11"/>
      <c r="B51" s="62"/>
      <c r="C51" s="57"/>
      <c r="D51" s="11"/>
      <c r="E51" s="11"/>
      <c r="F51" s="58"/>
      <c r="G51" s="11"/>
    </row>
    <row r="52" spans="2:6" s="76" customFormat="1" ht="9.75">
      <c r="B52" s="89" t="s">
        <v>4517</v>
      </c>
      <c r="F52" s="77"/>
    </row>
    <row r="53" s="76" customFormat="1" ht="3.75" customHeight="1">
      <c r="F53" s="77"/>
    </row>
    <row r="54" spans="2:6" s="76" customFormat="1" ht="9.75">
      <c r="B54" s="76" t="s">
        <v>5007</v>
      </c>
      <c r="F54" s="78" t="str">
        <f>'4-technická specifikace'!F4</f>
        <v>E1B</v>
      </c>
    </row>
    <row r="55" spans="2:6" s="76" customFormat="1" ht="9.75">
      <c r="B55" s="76" t="s">
        <v>4529</v>
      </c>
      <c r="F55" s="78" t="str">
        <f>'4-technická specifikace'!F5</f>
        <v>Selektivní</v>
      </c>
    </row>
    <row r="56" spans="2:7" s="76" customFormat="1" ht="9.75">
      <c r="B56" s="76" t="s">
        <v>4518</v>
      </c>
      <c r="F56" s="78">
        <f>'4-technická specifikace'!F6</f>
        <v>800</v>
      </c>
      <c r="G56" s="76" t="s">
        <v>2813</v>
      </c>
    </row>
    <row r="57" spans="2:7" s="76" customFormat="1" ht="9.75">
      <c r="B57" s="76" t="s">
        <v>4519</v>
      </c>
      <c r="F57" s="78">
        <f>'4-technická specifikace'!F7</f>
        <v>42</v>
      </c>
      <c r="G57" s="76" t="s">
        <v>2814</v>
      </c>
    </row>
    <row r="58" spans="2:7" s="76" customFormat="1" ht="9.75">
      <c r="B58" s="76" t="str">
        <f>'4-technická specifikace'!B8</f>
        <v>Provozní vypínací schopnost (415 Vstř.) Ics:</v>
      </c>
      <c r="F58" s="78">
        <f>'4-technická specifikace'!F8</f>
        <v>42</v>
      </c>
      <c r="G58" s="76" t="s">
        <v>2814</v>
      </c>
    </row>
    <row r="59" spans="2:7" s="76" customFormat="1" ht="9.75">
      <c r="B59" s="76" t="s">
        <v>4520</v>
      </c>
      <c r="F59" s="78">
        <f>'4-technická specifikace'!F9</f>
        <v>36</v>
      </c>
      <c r="G59" s="76" t="s">
        <v>2814</v>
      </c>
    </row>
    <row r="60" spans="2:6" s="76" customFormat="1" ht="9.75">
      <c r="B60" s="76" t="s">
        <v>4521</v>
      </c>
      <c r="F60" s="78">
        <f>'4-technická specifikace'!F10</f>
        <v>3</v>
      </c>
    </row>
    <row r="61" spans="2:6" s="76" customFormat="1" ht="9.75">
      <c r="B61" s="76" t="s">
        <v>4522</v>
      </c>
      <c r="F61" s="78" t="str">
        <f>'4-technická specifikace'!F11</f>
        <v>Výsuvné</v>
      </c>
    </row>
    <row r="62" spans="2:6" s="76" customFormat="1" ht="9.75">
      <c r="B62" s="76" t="s">
        <v>4523</v>
      </c>
      <c r="F62" s="78" t="str">
        <f>'4-technická specifikace'!F12</f>
        <v>Zadní vodorovné (HR)</v>
      </c>
    </row>
    <row r="63" spans="2:6" s="76" customFormat="1" ht="9.75">
      <c r="B63" s="76" t="s">
        <v>4524</v>
      </c>
      <c r="F63" s="78" t="str">
        <f>'4-technická specifikace'!F13</f>
        <v>PR111</v>
      </c>
    </row>
    <row r="64" spans="1:7" s="76" customFormat="1" ht="9.75">
      <c r="A64" s="102"/>
      <c r="B64" s="102" t="s">
        <v>4525</v>
      </c>
      <c r="C64" s="102"/>
      <c r="D64" s="102"/>
      <c r="E64" s="102"/>
      <c r="F64" s="103" t="str">
        <f>'4-technická specifikace'!F14</f>
        <v>LI.</v>
      </c>
      <c r="G64" s="102"/>
    </row>
    <row r="65" spans="1:7" ht="12.75">
      <c r="A65" s="47"/>
      <c r="B65" s="50"/>
      <c r="C65" s="47"/>
      <c r="D65" s="47"/>
      <c r="E65" s="47"/>
      <c r="F65" s="48"/>
      <c r="G65" s="47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8" r:id="rId2"/>
  <headerFooter alignWithMargins="0">
    <oddHeader>&amp;L&amp;9&amp;D &amp;T&amp;R&amp;9&amp;F</oddHeader>
    <oddFooter>&amp;L&amp;8ABB s.r.o., ELSYNN
Heršpická 13
619 00  BRNO&amp;C&amp;8tel.: + 420 5 4321 6747
fax: + 420 5 4324 3489&amp;R&amp;8e-mail: ivan.kacal@cz.abb.com
jiri.mynar@cz.abb.com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63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6.375" style="0" customWidth="1"/>
    <col min="3" max="3" width="2.375" style="0" customWidth="1"/>
    <col min="4" max="4" width="40.875" style="0" customWidth="1"/>
    <col min="5" max="5" width="5.375" style="42" customWidth="1"/>
    <col min="6" max="6" width="19.375" style="0" customWidth="1"/>
  </cols>
  <sheetData>
    <row r="1" ht="20.25">
      <c r="B1" s="44" t="str">
        <f>IF('1-výběr'!Q10=1,"Vzduchový jistič ABB SACE Emax","Vzduchový odpínač ABB SACE Emax")</f>
        <v>Vzduchový jistič ABB SACE Emax</v>
      </c>
    </row>
    <row r="2" spans="2:6" ht="15">
      <c r="B2" s="45" t="s">
        <v>4517</v>
      </c>
      <c r="E2" s="240" t="s">
        <v>3609</v>
      </c>
      <c r="F2" s="241">
        <f ca="1">NOW()</f>
        <v>38796.59151550926</v>
      </c>
    </row>
    <row r="4" spans="2:6" ht="12.75">
      <c r="B4" s="274" t="s">
        <v>5007</v>
      </c>
      <c r="C4" s="47"/>
      <c r="D4" s="47"/>
      <c r="E4" s="48"/>
      <c r="F4" s="278" t="str">
        <f>'1-výběr'!Z1531</f>
        <v>E1B</v>
      </c>
    </row>
    <row r="5" spans="2:6" ht="12.75">
      <c r="B5" s="274" t="s">
        <v>4529</v>
      </c>
      <c r="C5" s="47"/>
      <c r="D5" s="47"/>
      <c r="E5" s="48"/>
      <c r="F5" s="278" t="str">
        <f>IF('1-výběr'!Q10=2,"-",'1-výběr'!AC1531)</f>
        <v>Selektivní</v>
      </c>
    </row>
    <row r="6" spans="2:6" ht="12.75">
      <c r="B6" s="274" t="s">
        <v>4518</v>
      </c>
      <c r="C6" s="47"/>
      <c r="D6" s="47"/>
      <c r="E6" s="48" t="s">
        <v>4527</v>
      </c>
      <c r="F6" s="278">
        <f>'1-výběr'!R1531</f>
        <v>800</v>
      </c>
    </row>
    <row r="7" spans="2:6" ht="12.75">
      <c r="B7" s="274" t="s">
        <v>4519</v>
      </c>
      <c r="C7" s="47"/>
      <c r="D7" s="47"/>
      <c r="E7" s="48" t="s">
        <v>4528</v>
      </c>
      <c r="F7" s="278">
        <f>IF('1-výběr'!Q10=2,"-",'1-výběr'!S1531)</f>
        <v>42</v>
      </c>
    </row>
    <row r="8" spans="2:9" ht="12.75">
      <c r="B8" s="279" t="str">
        <f>IF('1-výběr'!Q10=1,"Provozní vypínací schopnost (415 Vstř.) Ics:","Jm. zapínací schopnost (440 Vstř.) vrch. hod. Icm:")</f>
        <v>Provozní vypínací schopnost (415 Vstř.) Ics:</v>
      </c>
      <c r="C8" s="47"/>
      <c r="D8" s="47"/>
      <c r="E8" s="48" t="s">
        <v>4528</v>
      </c>
      <c r="F8" s="278">
        <f>'1-výběr'!AB1531</f>
        <v>42</v>
      </c>
      <c r="I8" s="15"/>
    </row>
    <row r="9" spans="2:6" ht="12.75">
      <c r="B9" s="274" t="s">
        <v>4520</v>
      </c>
      <c r="C9" s="47"/>
      <c r="D9" s="47"/>
      <c r="E9" s="48" t="s">
        <v>4528</v>
      </c>
      <c r="F9" s="278">
        <f>'1-výběr'!AA1531</f>
        <v>36</v>
      </c>
    </row>
    <row r="10" spans="2:6" ht="12.75">
      <c r="B10" s="274" t="s">
        <v>4521</v>
      </c>
      <c r="C10" s="47"/>
      <c r="D10" s="47"/>
      <c r="E10" s="48"/>
      <c r="F10" s="278">
        <f>'1-výběr'!U1531</f>
        <v>3</v>
      </c>
    </row>
    <row r="11" spans="2:6" ht="12.75">
      <c r="B11" s="274" t="s">
        <v>4522</v>
      </c>
      <c r="C11" s="47"/>
      <c r="D11" s="47"/>
      <c r="E11" s="48"/>
      <c r="F11" s="278" t="str">
        <f>'1-výběr'!V1531</f>
        <v>Výsuvné</v>
      </c>
    </row>
    <row r="12" spans="2:6" ht="12.75">
      <c r="B12" s="274" t="s">
        <v>4523</v>
      </c>
      <c r="C12" s="47"/>
      <c r="D12" s="47"/>
      <c r="E12" s="48"/>
      <c r="F12" s="278" t="str">
        <f>'1-výběr'!V7</f>
        <v>Zadní vodorovné (HR)</v>
      </c>
    </row>
    <row r="13" spans="2:6" ht="12.75">
      <c r="B13" s="274" t="s">
        <v>4524</v>
      </c>
      <c r="C13" s="47"/>
      <c r="D13" s="47"/>
      <c r="E13" s="48"/>
      <c r="F13" s="278" t="str">
        <f>IF('1-výběr'!Q10=2,"-",'1-výběr'!X1531)</f>
        <v>PR111</v>
      </c>
    </row>
    <row r="14" spans="2:6" ht="12.75">
      <c r="B14" s="274" t="s">
        <v>4525</v>
      </c>
      <c r="C14" s="47"/>
      <c r="D14" s="47"/>
      <c r="E14" s="48"/>
      <c r="F14" s="278" t="str">
        <f>IF('1-výběr'!Q10=2,"-",'1-výběr'!Y1531)</f>
        <v>LI.</v>
      </c>
    </row>
    <row r="15" spans="1:6" ht="2.25" customHeight="1">
      <c r="A15" s="47"/>
      <c r="B15" s="47"/>
      <c r="C15" s="47"/>
      <c r="D15" s="47"/>
      <c r="E15" s="48"/>
      <c r="F15" s="47"/>
    </row>
    <row r="16" spans="1:6" ht="9" customHeight="1">
      <c r="A16" s="47"/>
      <c r="B16" s="280" t="s">
        <v>4526</v>
      </c>
      <c r="C16" s="47"/>
      <c r="D16" s="47"/>
      <c r="E16" s="48"/>
      <c r="F16" s="47"/>
    </row>
    <row r="17" spans="1:6" ht="9" customHeight="1">
      <c r="A17" s="47"/>
      <c r="B17" s="50" t="s">
        <v>4926</v>
      </c>
      <c r="C17" s="47"/>
      <c r="D17" s="50"/>
      <c r="E17" s="50" t="s">
        <v>4928</v>
      </c>
      <c r="F17" s="50"/>
    </row>
    <row r="18" spans="1:6" ht="9" customHeight="1">
      <c r="A18" s="47"/>
      <c r="B18" s="50" t="s">
        <v>4927</v>
      </c>
      <c r="C18" s="47"/>
      <c r="D18" s="50"/>
      <c r="E18" s="50" t="s">
        <v>4929</v>
      </c>
      <c r="F18" s="50"/>
    </row>
    <row r="19" spans="1:6" ht="9" customHeight="1" hidden="1">
      <c r="A19" s="47"/>
      <c r="B19" s="47"/>
      <c r="C19" s="47"/>
      <c r="D19" s="50"/>
      <c r="E19" s="48"/>
      <c r="F19" s="47"/>
    </row>
    <row r="20" spans="1:6" ht="9" customHeight="1" hidden="1">
      <c r="A20" s="47"/>
      <c r="B20" s="47"/>
      <c r="C20" s="47"/>
      <c r="D20" s="50"/>
      <c r="E20" s="48"/>
      <c r="F20" s="47"/>
    </row>
    <row r="21" spans="1:6" ht="9" customHeight="1" hidden="1">
      <c r="A21" s="47"/>
      <c r="B21" s="47"/>
      <c r="C21" s="47"/>
      <c r="D21" s="50"/>
      <c r="E21" s="48"/>
      <c r="F21" s="47"/>
    </row>
    <row r="22" spans="1:6" ht="4.5" customHeight="1">
      <c r="A22" s="47"/>
      <c r="B22" s="47"/>
      <c r="C22" s="47"/>
      <c r="D22" s="47"/>
      <c r="E22" s="48"/>
      <c r="F22" s="47"/>
    </row>
    <row r="23" spans="2:6" s="47" customFormat="1" ht="11.25">
      <c r="B23" s="289" t="s">
        <v>5017</v>
      </c>
      <c r="C23" s="290"/>
      <c r="D23" s="290" t="s">
        <v>4531</v>
      </c>
      <c r="E23" s="291"/>
      <c r="F23" s="292" t="s">
        <v>4534</v>
      </c>
    </row>
    <row r="24" spans="2:5" s="47" customFormat="1" ht="4.5" customHeight="1">
      <c r="B24" s="293"/>
      <c r="E24" s="48"/>
    </row>
    <row r="25" spans="2:5" s="47" customFormat="1" ht="11.25">
      <c r="B25" s="294" t="str">
        <f>IF('1-výběr'!Q10=2,"Odpínač","Jistič")</f>
        <v>Jistič</v>
      </c>
      <c r="E25" s="48"/>
    </row>
    <row r="26" spans="2:6" s="47" customFormat="1" ht="11.25">
      <c r="B26" s="295">
        <f>'1-výběr'!J4</f>
      </c>
      <c r="C26" s="296">
        <f>'1-výběr'!K4</f>
      </c>
      <c r="D26" s="296"/>
      <c r="E26" s="297"/>
      <c r="F26" s="298">
        <f>'1-výběr'!L4</f>
      </c>
    </row>
    <row r="27" spans="3:6" s="47" customFormat="1" ht="11.25">
      <c r="C27" s="332" t="str">
        <f>IF('1-výběr'!Q10=2,"SAP kód  - vypínač:","SAP kód  - jistič:")</f>
        <v>SAP kód  - jistič:</v>
      </c>
      <c r="D27" s="331"/>
      <c r="E27" s="48"/>
      <c r="F27" s="332" t="str">
        <f>'1-výběr'!CK2</f>
        <v> </v>
      </c>
    </row>
    <row r="28" spans="2:6" s="47" customFormat="1" ht="11.25">
      <c r="B28" s="294" t="s">
        <v>4532</v>
      </c>
      <c r="E28" s="48"/>
      <c r="F28" s="299"/>
    </row>
    <row r="29" spans="2:6" s="47" customFormat="1" ht="11.25">
      <c r="B29" s="295">
        <f>'1-výběr'!J6</f>
      </c>
      <c r="C29" s="296">
        <f>'1-výběr'!K6</f>
      </c>
      <c r="D29" s="296"/>
      <c r="E29" s="297"/>
      <c r="F29" s="300">
        <f>'1-výběr'!L6</f>
      </c>
    </row>
    <row r="30" spans="3:6" s="47" customFormat="1" ht="11.25">
      <c r="C30" s="332" t="s">
        <v>4902</v>
      </c>
      <c r="D30" s="254"/>
      <c r="E30" s="48"/>
      <c r="F30" s="332" t="str">
        <f>'1-výběr'!CM2</f>
        <v> </v>
      </c>
    </row>
    <row r="31" spans="2:6" s="47" customFormat="1" ht="11.25">
      <c r="B31" s="294" t="s">
        <v>4533</v>
      </c>
      <c r="E31" s="48"/>
      <c r="F31" s="299"/>
    </row>
    <row r="32" spans="2:6" s="47" customFormat="1" ht="11.25">
      <c r="B32" s="301">
        <f>'1-výběr'!J8</f>
      </c>
      <c r="C32" s="47">
        <f>'1-výběr'!K8</f>
      </c>
      <c r="E32" s="302"/>
      <c r="F32" s="299">
        <f>'1-výběr'!L8</f>
      </c>
    </row>
    <row r="33" spans="2:6" s="47" customFormat="1" ht="11.25">
      <c r="B33" s="301">
        <f>'1-výběr'!J9</f>
      </c>
      <c r="C33" s="47">
        <f>'1-výběr'!K9</f>
      </c>
      <c r="E33" s="302"/>
      <c r="F33" s="299">
        <f>'1-výběr'!L9</f>
      </c>
    </row>
    <row r="34" spans="2:6" s="47" customFormat="1" ht="11.25">
      <c r="B34" s="301">
        <f>'1-výběr'!J10</f>
      </c>
      <c r="C34" s="47">
        <f>'1-výběr'!K10</f>
      </c>
      <c r="E34" s="302"/>
      <c r="F34" s="299">
        <f>'1-výběr'!L10</f>
      </c>
    </row>
    <row r="35" spans="2:6" s="47" customFormat="1" ht="11.25">
      <c r="B35" s="301">
        <f>'1-výběr'!J11</f>
      </c>
      <c r="C35" s="47">
        <f>'1-výběr'!K11</f>
      </c>
      <c r="E35" s="302"/>
      <c r="F35" s="299">
        <f>'1-výběr'!L11</f>
      </c>
    </row>
    <row r="36" spans="2:6" s="47" customFormat="1" ht="11.25">
      <c r="B36" s="301">
        <f>'1-výběr'!J12</f>
      </c>
      <c r="C36" s="47">
        <f>'1-výběr'!K12</f>
      </c>
      <c r="E36" s="302"/>
      <c r="F36" s="299">
        <f>'1-výběr'!L12</f>
      </c>
    </row>
    <row r="37" spans="2:6" s="47" customFormat="1" ht="11.25">
      <c r="B37" s="301">
        <f>'1-výběr'!J13</f>
      </c>
      <c r="C37" s="47">
        <f>'1-výběr'!K13</f>
      </c>
      <c r="E37" s="302"/>
      <c r="F37" s="299">
        <f>'1-výběr'!L13</f>
      </c>
    </row>
    <row r="38" spans="2:6" s="47" customFormat="1" ht="11.25">
      <c r="B38" s="301">
        <f>'1-výběr'!J14</f>
      </c>
      <c r="C38" s="47">
        <f>'1-výběr'!K14</f>
      </c>
      <c r="E38" s="302"/>
      <c r="F38" s="299">
        <f>'1-výběr'!L14</f>
      </c>
    </row>
    <row r="39" spans="2:6" s="47" customFormat="1" ht="11.25">
      <c r="B39" s="301">
        <f>'1-výběr'!J15</f>
      </c>
      <c r="C39" s="47">
        <f>'1-výběr'!K15</f>
      </c>
      <c r="E39" s="302"/>
      <c r="F39" s="299">
        <f>'1-výběr'!L15</f>
      </c>
    </row>
    <row r="40" spans="2:6" s="47" customFormat="1" ht="11.25">
      <c r="B40" s="301">
        <f>'1-výběr'!J16</f>
      </c>
      <c r="C40" s="47">
        <f>'1-výběr'!K16</f>
      </c>
      <c r="E40" s="302"/>
      <c r="F40" s="299">
        <f>'1-výběr'!L16</f>
      </c>
    </row>
    <row r="41" spans="2:6" s="47" customFormat="1" ht="11.25">
      <c r="B41" s="301">
        <f>'1-výběr'!J17</f>
      </c>
      <c r="C41" s="47">
        <f>'1-výběr'!K17</f>
      </c>
      <c r="E41" s="302"/>
      <c r="F41" s="299">
        <f>'1-výběr'!L17</f>
      </c>
    </row>
    <row r="42" spans="2:6" s="47" customFormat="1" ht="11.25">
      <c r="B42" s="301">
        <f>'1-výběr'!J18</f>
      </c>
      <c r="C42" s="47">
        <f>'1-výběr'!K18</f>
      </c>
      <c r="E42" s="302"/>
      <c r="F42" s="299">
        <f>'1-výběr'!L18</f>
      </c>
    </row>
    <row r="43" spans="2:6" s="47" customFormat="1" ht="11.25">
      <c r="B43" s="301">
        <f>'1-výběr'!J19</f>
      </c>
      <c r="C43" s="47">
        <f>'1-výběr'!K19</f>
      </c>
      <c r="E43" s="302"/>
      <c r="F43" s="299">
        <f>'1-výběr'!L19</f>
      </c>
    </row>
    <row r="44" spans="2:6" s="47" customFormat="1" ht="11.25">
      <c r="B44" s="301">
        <f>'1-výběr'!J20</f>
      </c>
      <c r="C44" s="47">
        <f>'1-výběr'!K20</f>
      </c>
      <c r="E44" s="302"/>
      <c r="F44" s="299">
        <f>'1-výběr'!L20</f>
      </c>
    </row>
    <row r="45" spans="2:6" s="47" customFormat="1" ht="11.25">
      <c r="B45" s="301">
        <f>'1-výběr'!J21</f>
      </c>
      <c r="C45" s="47">
        <f>'1-výběr'!K21</f>
      </c>
      <c r="E45" s="302"/>
      <c r="F45" s="299">
        <f>'1-výběr'!L21</f>
      </c>
    </row>
    <row r="46" spans="2:6" s="47" customFormat="1" ht="11.25">
      <c r="B46" s="301">
        <f>'1-výběr'!J22</f>
      </c>
      <c r="C46" s="47">
        <f>'1-výběr'!K22</f>
      </c>
      <c r="E46" s="302"/>
      <c r="F46" s="299">
        <f>'1-výběr'!L22</f>
      </c>
    </row>
    <row r="47" spans="2:6" s="47" customFormat="1" ht="11.25">
      <c r="B47" s="301">
        <f>'1-výběr'!J23</f>
      </c>
      <c r="C47" s="47">
        <f>'1-výběr'!K23</f>
      </c>
      <c r="E47" s="302"/>
      <c r="F47" s="299">
        <f>'1-výběr'!L23</f>
      </c>
    </row>
    <row r="48" spans="2:6" s="47" customFormat="1" ht="11.25">
      <c r="B48" s="301">
        <f>'1-výběr'!J24</f>
      </c>
      <c r="C48" s="47">
        <f>'1-výběr'!K24</f>
      </c>
      <c r="E48" s="302"/>
      <c r="F48" s="299">
        <f>'1-výběr'!L24</f>
      </c>
    </row>
    <row r="49" spans="2:6" s="47" customFormat="1" ht="11.25">
      <c r="B49" s="301">
        <f>'1-výběr'!J25</f>
      </c>
      <c r="C49" s="47">
        <f>'1-výběr'!K25</f>
      </c>
      <c r="E49" s="302"/>
      <c r="F49" s="299">
        <f>'1-výběr'!L25</f>
      </c>
    </row>
    <row r="50" spans="2:6" s="47" customFormat="1" ht="11.25">
      <c r="B50" s="301">
        <f>'1-výběr'!J26</f>
      </c>
      <c r="C50" s="47">
        <f>'1-výběr'!K26</f>
      </c>
      <c r="E50" s="302"/>
      <c r="F50" s="299">
        <f>'1-výběr'!L26</f>
      </c>
    </row>
    <row r="51" spans="2:6" s="47" customFormat="1" ht="11.25">
      <c r="B51" s="301">
        <f>'1-výběr'!J27</f>
      </c>
      <c r="C51" s="47">
        <f>'1-výběr'!K27</f>
      </c>
      <c r="E51" s="302"/>
      <c r="F51" s="299">
        <f>'1-výběr'!L27</f>
      </c>
    </row>
    <row r="52" spans="2:6" s="47" customFormat="1" ht="11.25">
      <c r="B52" s="301">
        <f>'1-výběr'!J28</f>
      </c>
      <c r="C52" s="47">
        <f>'1-výběr'!K28</f>
      </c>
      <c r="E52" s="302"/>
      <c r="F52" s="299">
        <f>'1-výběr'!L28</f>
      </c>
    </row>
    <row r="53" spans="2:6" s="47" customFormat="1" ht="11.25">
      <c r="B53" s="301">
        <f>'1-výběr'!J29</f>
      </c>
      <c r="C53" s="254">
        <f>'1-výběr'!K29</f>
      </c>
      <c r="D53" s="254"/>
      <c r="E53" s="302"/>
      <c r="F53" s="333">
        <f>'1-výběr'!L29</f>
      </c>
    </row>
    <row r="54" spans="2:6" s="47" customFormat="1" ht="11.25">
      <c r="B54" s="301">
        <f>'1-výběr'!J30</f>
      </c>
      <c r="C54" s="254">
        <f>'1-výběr'!K30</f>
      </c>
      <c r="D54" s="254"/>
      <c r="E54" s="302"/>
      <c r="F54" s="333">
        <f>'1-výběr'!L30</f>
      </c>
    </row>
    <row r="55" spans="2:6" s="47" customFormat="1" ht="11.25">
      <c r="B55" s="295">
        <f>'1-výběr'!J31</f>
      </c>
      <c r="C55" s="296">
        <f>'1-výběr'!K31</f>
      </c>
      <c r="D55" s="296"/>
      <c r="E55" s="297"/>
      <c r="F55" s="298">
        <f>'1-výběr'!L31</f>
      </c>
    </row>
    <row r="56" spans="2:6" ht="12.75">
      <c r="B56" s="92"/>
      <c r="C56" s="92"/>
      <c r="D56" s="94"/>
      <c r="E56" s="93"/>
      <c r="F56" s="95"/>
    </row>
    <row r="57" spans="4:6" s="47" customFormat="1" ht="11.25">
      <c r="D57" s="274" t="s">
        <v>2812</v>
      </c>
      <c r="E57" s="48"/>
      <c r="F57" s="281">
        <f>'1-výběr'!P37</f>
        <v>0</v>
      </c>
    </row>
    <row r="58" spans="2:6" s="47" customFormat="1" ht="11.25">
      <c r="B58" s="270"/>
      <c r="C58" s="138"/>
      <c r="D58" s="22" t="str">
        <f>IF('1-výběr'!Q10=2,"Vypínač celkem:","Jistič celkem:")</f>
        <v>Jistič celkem:</v>
      </c>
      <c r="E58" s="48"/>
      <c r="F58" s="282">
        <f>'1-výběr'!D22</f>
        <v>0</v>
      </c>
    </row>
    <row r="59" spans="2:6" s="47" customFormat="1" ht="11.25">
      <c r="B59" s="270"/>
      <c r="C59" s="138"/>
      <c r="D59" s="22" t="s">
        <v>2833</v>
      </c>
      <c r="E59" s="48"/>
      <c r="F59" s="282">
        <f>'1-výběr'!D23</f>
        <v>0</v>
      </c>
    </row>
    <row r="60" spans="2:6" s="47" customFormat="1" ht="11.25">
      <c r="B60" s="270"/>
      <c r="C60" s="138"/>
      <c r="D60" s="22" t="str">
        <f>IF('1-výběr'!Q10=2,"Vypínač s příslušenstvím:","Jistič s příslušenstvím:")</f>
        <v>Jistič s příslušenstvím:</v>
      </c>
      <c r="E60" s="48"/>
      <c r="F60" s="282">
        <f>'1-výběr'!D24</f>
        <v>0</v>
      </c>
    </row>
    <row r="61" spans="2:6" s="47" customFormat="1" ht="11.25">
      <c r="B61" s="138"/>
      <c r="C61" s="138"/>
      <c r="D61" s="29" t="s">
        <v>2843</v>
      </c>
      <c r="E61" s="48"/>
      <c r="F61" s="283">
        <f>'1-výběr'!D25</f>
        <v>1</v>
      </c>
    </row>
    <row r="62" spans="1:6" s="47" customFormat="1" ht="11.25">
      <c r="A62" s="284"/>
      <c r="B62" s="285"/>
      <c r="C62" s="285"/>
      <c r="D62" s="286" t="s">
        <v>2844</v>
      </c>
      <c r="E62" s="287"/>
      <c r="F62" s="288">
        <f>'1-výběr'!D26</f>
        <v>0</v>
      </c>
    </row>
    <row r="63" spans="1:6" ht="12.75">
      <c r="A63" s="94"/>
      <c r="B63" s="94"/>
      <c r="C63" s="94"/>
      <c r="D63" s="94"/>
      <c r="E63" s="96"/>
      <c r="F63" s="9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9" r:id="rId1"/>
  <headerFooter alignWithMargins="0">
    <oddHeader>&amp;L&amp;D &amp;T&amp;R&amp;F</oddHeader>
    <oddFooter>&amp;L&amp;8ABB s.r.o., ELSYNN
Heršpická 13
619 00  BRNO&amp;C&amp;8tel.: + 420 5 4321 6747
fax: + 420 5 4324 3489&amp;R&amp;8e-mail: ivan.kacal@cz.abb.com
jiri.mynar@cz.abb.com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H1:P6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6" width="9.125" style="115" customWidth="1"/>
    <col min="7" max="7" width="10.75390625" style="115" customWidth="1"/>
    <col min="8" max="8" width="10.375" style="115" customWidth="1"/>
    <col min="9" max="15" width="9.125" style="115" customWidth="1"/>
    <col min="16" max="16" width="1.75390625" style="115" customWidth="1"/>
    <col min="17" max="16384" width="9.125" style="115" customWidth="1"/>
  </cols>
  <sheetData>
    <row r="1" spans="8:9" ht="57" customHeight="1">
      <c r="H1" s="113">
        <f>'1-výběr'!BA15</f>
        <v>1</v>
      </c>
      <c r="I1" s="114"/>
    </row>
    <row r="2" spans="8:16" ht="81.75" customHeight="1">
      <c r="H2" s="116" t="s">
        <v>4126</v>
      </c>
      <c r="I2" s="117" t="s">
        <v>3447</v>
      </c>
      <c r="J2" s="116"/>
      <c r="K2" s="116"/>
      <c r="L2" s="116"/>
      <c r="M2" s="116"/>
      <c r="N2" s="116"/>
      <c r="O2" s="116"/>
      <c r="P2" s="116"/>
    </row>
    <row r="3" spans="8:9" ht="78" customHeight="1">
      <c r="H3" s="116" t="s">
        <v>4127</v>
      </c>
      <c r="I3" s="117" t="s">
        <v>4130</v>
      </c>
    </row>
    <row r="4" spans="8:9" ht="33" customHeight="1">
      <c r="H4" s="116"/>
      <c r="I4" s="118"/>
    </row>
    <row r="5" spans="8:9" ht="81" customHeight="1">
      <c r="H5" s="116" t="s">
        <v>4128</v>
      </c>
      <c r="I5" s="117" t="s">
        <v>3440</v>
      </c>
    </row>
    <row r="6" spans="8:9" ht="77.25" customHeight="1">
      <c r="H6" s="116" t="s">
        <v>4129</v>
      </c>
      <c r="I6" s="117" t="s">
        <v>3444</v>
      </c>
    </row>
    <row r="7" ht="12.75"/>
  </sheetData>
  <conditionalFormatting sqref="H5:P5">
    <cfRule type="expression" priority="1" dxfId="5" stopIfTrue="1">
      <formula>$H$1=1</formula>
    </cfRule>
  </conditionalFormatting>
  <conditionalFormatting sqref="H2:P2">
    <cfRule type="expression" priority="2" dxfId="5" stopIfTrue="1">
      <formula>$H$1=3</formula>
    </cfRule>
  </conditionalFormatting>
  <conditionalFormatting sqref="H3:P3">
    <cfRule type="expression" priority="3" dxfId="5" stopIfTrue="1">
      <formula>$H$1=4</formula>
    </cfRule>
  </conditionalFormatting>
  <conditionalFormatting sqref="H6:P6">
    <cfRule type="expression" priority="4" dxfId="5" stopIfTrue="1">
      <formula>$H$1=2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Paint.Picture" shapeId="14385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W2241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3.125" style="42" customWidth="1"/>
    <col min="2" max="2" width="9.375" style="0" customWidth="1"/>
    <col min="3" max="3" width="18.125" style="0" customWidth="1"/>
    <col min="4" max="4" width="6.75390625" style="135" customWidth="1"/>
    <col min="5" max="5" width="50.75390625" style="134" customWidth="1"/>
    <col min="6" max="6" width="17.125" style="134" customWidth="1"/>
    <col min="7" max="7" width="18.75390625" style="168" customWidth="1"/>
    <col min="8" max="8" width="10.625" style="168" customWidth="1"/>
    <col min="9" max="9" width="30.75390625" style="168" customWidth="1"/>
    <col min="10" max="10" width="10.625" style="134" customWidth="1"/>
    <col min="11" max="11" width="10.625" style="142" customWidth="1"/>
    <col min="12" max="12" width="22.625" style="141" bestFit="1" customWidth="1"/>
    <col min="13" max="13" width="4.875" style="138" bestFit="1" customWidth="1"/>
    <col min="14" max="14" width="3.625" style="47" bestFit="1" customWidth="1"/>
    <col min="15" max="15" width="1.875" style="47" bestFit="1" customWidth="1"/>
    <col min="16" max="16" width="4.375" style="47" bestFit="1" customWidth="1"/>
    <col min="17" max="17" width="1.875" style="139" bestFit="1" customWidth="1"/>
    <col min="18" max="18" width="4.375" style="47" bestFit="1" customWidth="1"/>
    <col min="19" max="19" width="2.375" style="138" customWidth="1"/>
    <col min="20" max="20" width="15.375" style="47" bestFit="1" customWidth="1"/>
    <col min="21" max="21" width="37.25390625" style="47" bestFit="1" customWidth="1"/>
    <col min="22" max="22" width="11.00390625" style="141" bestFit="1" customWidth="1"/>
    <col min="23" max="65" width="9.125" style="47" customWidth="1"/>
  </cols>
  <sheetData>
    <row r="1" spans="1:21" ht="12.75">
      <c r="A1" s="146"/>
      <c r="B1" s="106"/>
      <c r="C1" s="106"/>
      <c r="D1" s="148"/>
      <c r="E1" s="144"/>
      <c r="F1" s="144"/>
      <c r="G1" s="144"/>
      <c r="H1" s="144"/>
      <c r="I1" s="144"/>
      <c r="S1" s="140"/>
      <c r="U1" s="336" t="s">
        <v>4181</v>
      </c>
    </row>
    <row r="2" spans="1:22" ht="12.75">
      <c r="A2" s="146"/>
      <c r="B2" s="152" t="s">
        <v>4312</v>
      </c>
      <c r="C2" s="153" t="s">
        <v>5017</v>
      </c>
      <c r="D2" s="173" t="s">
        <v>4311</v>
      </c>
      <c r="E2" s="169" t="s">
        <v>4531</v>
      </c>
      <c r="F2" s="154" t="s">
        <v>5019</v>
      </c>
      <c r="G2" s="155" t="s">
        <v>4310</v>
      </c>
      <c r="H2" s="144"/>
      <c r="I2" s="144"/>
      <c r="S2" s="140"/>
      <c r="T2" s="47" t="s">
        <v>5017</v>
      </c>
      <c r="U2" s="47" t="s">
        <v>5020</v>
      </c>
      <c r="V2" s="141" t="s">
        <v>4986</v>
      </c>
    </row>
    <row r="3" spans="1:23" ht="12.75">
      <c r="A3" s="146"/>
      <c r="B3" s="160">
        <f aca="true" t="shared" si="0" ref="B3:B32">IF(C3&gt;0,K3,"")</f>
      </c>
      <c r="C3" s="2"/>
      <c r="D3" s="174"/>
      <c r="E3" s="170">
        <f aca="true" t="shared" si="1" ref="E3:E32">IF(C3&gt;0,L3,"")</f>
      </c>
      <c r="F3" s="161">
        <f aca="true" t="shared" si="2" ref="F3:F32">IF(C3&gt;0,M3,"")</f>
      </c>
      <c r="G3" s="162">
        <f aca="true" t="shared" si="3" ref="G3:G32">IF(C3&gt;0,J3,0)</f>
        <v>0</v>
      </c>
      <c r="H3" s="145"/>
      <c r="I3" s="145"/>
      <c r="J3" s="134" t="e">
        <f aca="true" t="shared" si="4" ref="J3:J32">M3*D3</f>
        <v>#N/A</v>
      </c>
      <c r="K3" s="142" t="s">
        <v>839</v>
      </c>
      <c r="L3" s="141" t="e">
        <f ca="1" t="shared" si="5" ref="L3:L32">INDIRECT(R3)</f>
        <v>#N/A</v>
      </c>
      <c r="M3" s="141" t="e">
        <f ca="1" t="shared" si="6" ref="M3:M32">INDIRECT(P3)</f>
        <v>#N/A</v>
      </c>
      <c r="N3" s="47" t="e">
        <f aca="true" t="shared" si="7" ref="N3:N32">MATCH(C3,T$1:T$65536,0)</f>
        <v>#N/A</v>
      </c>
      <c r="O3" s="47" t="s">
        <v>2114</v>
      </c>
      <c r="P3" s="47" t="e">
        <f aca="true" t="shared" si="8" ref="P3:P32">CONCATENATE(O3,N3)</f>
        <v>#N/A</v>
      </c>
      <c r="Q3" s="139" t="s">
        <v>3764</v>
      </c>
      <c r="R3" s="47" t="e">
        <f>CONCATENATE(Q3,N3)</f>
        <v>#N/A</v>
      </c>
      <c r="S3" s="140"/>
      <c r="T3" s="47" t="s">
        <v>1747</v>
      </c>
      <c r="U3" s="47" t="s">
        <v>4987</v>
      </c>
      <c r="V3" s="141">
        <v>35992</v>
      </c>
      <c r="W3" s="139"/>
    </row>
    <row r="4" spans="1:23" ht="12.75">
      <c r="A4" s="146"/>
      <c r="B4" s="163">
        <f t="shared" si="0"/>
      </c>
      <c r="C4" s="164"/>
      <c r="D4" s="175"/>
      <c r="E4" s="171">
        <f t="shared" si="1"/>
      </c>
      <c r="F4" s="165">
        <f t="shared" si="2"/>
      </c>
      <c r="G4" s="166">
        <f t="shared" si="3"/>
        <v>0</v>
      </c>
      <c r="H4" s="145"/>
      <c r="I4" s="145"/>
      <c r="J4" s="134" t="e">
        <f t="shared" si="4"/>
        <v>#N/A</v>
      </c>
      <c r="K4" s="142" t="s">
        <v>840</v>
      </c>
      <c r="L4" s="141" t="e">
        <f ca="1" t="shared" si="5"/>
        <v>#N/A</v>
      </c>
      <c r="M4" s="141" t="e">
        <f ca="1" t="shared" si="6"/>
        <v>#N/A</v>
      </c>
      <c r="N4" s="47" t="e">
        <f t="shared" si="7"/>
        <v>#N/A</v>
      </c>
      <c r="O4" s="47" t="s">
        <v>2114</v>
      </c>
      <c r="P4" s="47" t="e">
        <f t="shared" si="8"/>
        <v>#N/A</v>
      </c>
      <c r="Q4" s="139" t="s">
        <v>3764</v>
      </c>
      <c r="R4" s="47" t="e">
        <f aca="true" t="shared" si="9" ref="R4:R32">CONCATENATE(Q4,N4)</f>
        <v>#N/A</v>
      </c>
      <c r="S4" s="140"/>
      <c r="T4" s="47" t="s">
        <v>3236</v>
      </c>
      <c r="U4" s="47" t="s">
        <v>492</v>
      </c>
      <c r="V4" s="141">
        <v>2733</v>
      </c>
      <c r="W4" s="337"/>
    </row>
    <row r="5" spans="1:23" ht="12.75">
      <c r="A5" s="146"/>
      <c r="B5" s="163">
        <f t="shared" si="0"/>
      </c>
      <c r="C5" s="164"/>
      <c r="D5" s="175"/>
      <c r="E5" s="171">
        <f t="shared" si="1"/>
      </c>
      <c r="F5" s="165">
        <f t="shared" si="2"/>
      </c>
      <c r="G5" s="166">
        <f t="shared" si="3"/>
        <v>0</v>
      </c>
      <c r="H5" s="145"/>
      <c r="I5" s="145"/>
      <c r="J5" s="134" t="e">
        <f t="shared" si="4"/>
        <v>#N/A</v>
      </c>
      <c r="K5" s="142" t="s">
        <v>841</v>
      </c>
      <c r="L5" s="141" t="e">
        <f ca="1" t="shared" si="5"/>
        <v>#N/A</v>
      </c>
      <c r="M5" s="141" t="e">
        <f ca="1" t="shared" si="6"/>
        <v>#N/A</v>
      </c>
      <c r="N5" s="47" t="e">
        <f t="shared" si="7"/>
        <v>#N/A</v>
      </c>
      <c r="O5" s="47" t="s">
        <v>2114</v>
      </c>
      <c r="P5" s="47" t="e">
        <f t="shared" si="8"/>
        <v>#N/A</v>
      </c>
      <c r="Q5" s="139" t="s">
        <v>3764</v>
      </c>
      <c r="R5" s="47" t="e">
        <f t="shared" si="9"/>
        <v>#N/A</v>
      </c>
      <c r="S5" s="140"/>
      <c r="T5" s="47" t="s">
        <v>2377</v>
      </c>
      <c r="U5" s="47" t="s">
        <v>493</v>
      </c>
      <c r="V5" s="141">
        <v>2733</v>
      </c>
      <c r="W5" s="337"/>
    </row>
    <row r="6" spans="1:23" ht="12.75">
      <c r="A6" s="146"/>
      <c r="B6" s="163">
        <f t="shared" si="0"/>
      </c>
      <c r="C6" s="164"/>
      <c r="D6" s="175"/>
      <c r="E6" s="171">
        <f t="shared" si="1"/>
      </c>
      <c r="F6" s="165">
        <f t="shared" si="2"/>
      </c>
      <c r="G6" s="166">
        <f t="shared" si="3"/>
        <v>0</v>
      </c>
      <c r="H6" s="145"/>
      <c r="I6" s="145"/>
      <c r="J6" s="134" t="e">
        <f t="shared" si="4"/>
        <v>#N/A</v>
      </c>
      <c r="K6" s="142" t="s">
        <v>842</v>
      </c>
      <c r="L6" s="141" t="e">
        <f ca="1" t="shared" si="5"/>
        <v>#N/A</v>
      </c>
      <c r="M6" s="141" t="e">
        <f ca="1" t="shared" si="6"/>
        <v>#N/A</v>
      </c>
      <c r="N6" s="47" t="e">
        <f t="shared" si="7"/>
        <v>#N/A</v>
      </c>
      <c r="O6" s="47" t="s">
        <v>2114</v>
      </c>
      <c r="P6" s="47" t="e">
        <f t="shared" si="8"/>
        <v>#N/A</v>
      </c>
      <c r="Q6" s="139" t="s">
        <v>3764</v>
      </c>
      <c r="R6" s="47" t="e">
        <f t="shared" si="9"/>
        <v>#N/A</v>
      </c>
      <c r="S6" s="140"/>
      <c r="T6" s="47" t="s">
        <v>2378</v>
      </c>
      <c r="U6" s="47" t="s">
        <v>495</v>
      </c>
      <c r="V6" s="141">
        <v>2733</v>
      </c>
      <c r="W6" s="337"/>
    </row>
    <row r="7" spans="1:23" ht="12.75">
      <c r="A7" s="146"/>
      <c r="B7" s="163">
        <f t="shared" si="0"/>
      </c>
      <c r="C7" s="164"/>
      <c r="D7" s="175"/>
      <c r="E7" s="171">
        <f t="shared" si="1"/>
      </c>
      <c r="F7" s="165">
        <f t="shared" si="2"/>
      </c>
      <c r="G7" s="166">
        <f t="shared" si="3"/>
        <v>0</v>
      </c>
      <c r="H7" s="145"/>
      <c r="I7" s="145"/>
      <c r="J7" s="134" t="e">
        <f t="shared" si="4"/>
        <v>#N/A</v>
      </c>
      <c r="K7" s="142" t="s">
        <v>843</v>
      </c>
      <c r="L7" s="141" t="e">
        <f ca="1" t="shared" si="5"/>
        <v>#N/A</v>
      </c>
      <c r="M7" s="141" t="e">
        <f ca="1" t="shared" si="6"/>
        <v>#N/A</v>
      </c>
      <c r="N7" s="47" t="e">
        <f t="shared" si="7"/>
        <v>#N/A</v>
      </c>
      <c r="O7" s="47" t="s">
        <v>2114</v>
      </c>
      <c r="P7" s="47" t="e">
        <f t="shared" si="8"/>
        <v>#N/A</v>
      </c>
      <c r="Q7" s="139" t="s">
        <v>3764</v>
      </c>
      <c r="R7" s="47" t="e">
        <f t="shared" si="9"/>
        <v>#N/A</v>
      </c>
      <c r="S7" s="140"/>
      <c r="T7" s="47" t="s">
        <v>2379</v>
      </c>
      <c r="U7" s="47" t="s">
        <v>497</v>
      </c>
      <c r="V7" s="141">
        <v>2733</v>
      </c>
      <c r="W7" s="337"/>
    </row>
    <row r="8" spans="1:23" ht="12.75">
      <c r="A8" s="146"/>
      <c r="B8" s="163">
        <f t="shared" si="0"/>
      </c>
      <c r="C8" s="164"/>
      <c r="D8" s="175"/>
      <c r="E8" s="171">
        <f t="shared" si="1"/>
      </c>
      <c r="F8" s="165">
        <f t="shared" si="2"/>
      </c>
      <c r="G8" s="166">
        <f t="shared" si="3"/>
        <v>0</v>
      </c>
      <c r="H8" s="145"/>
      <c r="I8" s="145"/>
      <c r="J8" s="134" t="e">
        <f t="shared" si="4"/>
        <v>#N/A</v>
      </c>
      <c r="K8" s="142" t="s">
        <v>844</v>
      </c>
      <c r="L8" s="141" t="e">
        <f ca="1" t="shared" si="5"/>
        <v>#N/A</v>
      </c>
      <c r="M8" s="141" t="e">
        <f ca="1" t="shared" si="6"/>
        <v>#N/A</v>
      </c>
      <c r="N8" s="47" t="e">
        <f t="shared" si="7"/>
        <v>#N/A</v>
      </c>
      <c r="O8" s="47" t="s">
        <v>2114</v>
      </c>
      <c r="P8" s="47" t="e">
        <f t="shared" si="8"/>
        <v>#N/A</v>
      </c>
      <c r="Q8" s="139" t="s">
        <v>3764</v>
      </c>
      <c r="R8" s="47" t="e">
        <f t="shared" si="9"/>
        <v>#N/A</v>
      </c>
      <c r="S8" s="140"/>
      <c r="T8" s="47" t="s">
        <v>2380</v>
      </c>
      <c r="U8" s="47" t="s">
        <v>499</v>
      </c>
      <c r="V8" s="141">
        <v>2733</v>
      </c>
      <c r="W8" s="337"/>
    </row>
    <row r="9" spans="1:23" ht="12.75">
      <c r="A9" s="146"/>
      <c r="B9" s="163">
        <f t="shared" si="0"/>
      </c>
      <c r="C9" s="167"/>
      <c r="D9" s="175"/>
      <c r="E9" s="171">
        <f t="shared" si="1"/>
      </c>
      <c r="F9" s="165">
        <f t="shared" si="2"/>
      </c>
      <c r="G9" s="166">
        <f t="shared" si="3"/>
        <v>0</v>
      </c>
      <c r="H9" s="145"/>
      <c r="I9" s="145"/>
      <c r="J9" s="134" t="e">
        <f t="shared" si="4"/>
        <v>#N/A</v>
      </c>
      <c r="K9" s="142" t="s">
        <v>845</v>
      </c>
      <c r="L9" s="141" t="e">
        <f ca="1" t="shared" si="5"/>
        <v>#N/A</v>
      </c>
      <c r="M9" s="141" t="e">
        <f ca="1" t="shared" si="6"/>
        <v>#N/A</v>
      </c>
      <c r="N9" s="47" t="e">
        <f t="shared" si="7"/>
        <v>#N/A</v>
      </c>
      <c r="O9" s="47" t="s">
        <v>2114</v>
      </c>
      <c r="P9" s="47" t="e">
        <f t="shared" si="8"/>
        <v>#N/A</v>
      </c>
      <c r="Q9" s="139" t="s">
        <v>3764</v>
      </c>
      <c r="R9" s="47" t="e">
        <f t="shared" si="9"/>
        <v>#N/A</v>
      </c>
      <c r="S9" s="140"/>
      <c r="T9" s="47" t="s">
        <v>2381</v>
      </c>
      <c r="U9" s="47" t="s">
        <v>500</v>
      </c>
      <c r="V9" s="141">
        <v>2733</v>
      </c>
      <c r="W9" s="337"/>
    </row>
    <row r="10" spans="1:23" ht="12.75">
      <c r="A10" s="146"/>
      <c r="B10" s="163">
        <f t="shared" si="0"/>
      </c>
      <c r="C10" s="167"/>
      <c r="D10" s="175"/>
      <c r="E10" s="171">
        <f t="shared" si="1"/>
      </c>
      <c r="F10" s="165">
        <f t="shared" si="2"/>
      </c>
      <c r="G10" s="166">
        <f t="shared" si="3"/>
        <v>0</v>
      </c>
      <c r="H10" s="145"/>
      <c r="I10" s="145"/>
      <c r="J10" s="134" t="e">
        <f t="shared" si="4"/>
        <v>#N/A</v>
      </c>
      <c r="K10" s="142" t="s">
        <v>846</v>
      </c>
      <c r="L10" s="141" t="e">
        <f ca="1" t="shared" si="5"/>
        <v>#N/A</v>
      </c>
      <c r="M10" s="141" t="e">
        <f ca="1" t="shared" si="6"/>
        <v>#N/A</v>
      </c>
      <c r="N10" s="47" t="e">
        <f t="shared" si="7"/>
        <v>#N/A</v>
      </c>
      <c r="O10" s="47" t="s">
        <v>2114</v>
      </c>
      <c r="P10" s="47" t="e">
        <f t="shared" si="8"/>
        <v>#N/A</v>
      </c>
      <c r="Q10" s="139" t="s">
        <v>3764</v>
      </c>
      <c r="R10" s="47" t="e">
        <f t="shared" si="9"/>
        <v>#N/A</v>
      </c>
      <c r="S10" s="140"/>
      <c r="T10" s="47" t="s">
        <v>2382</v>
      </c>
      <c r="U10" s="47" t="s">
        <v>502</v>
      </c>
      <c r="V10" s="141">
        <v>2733</v>
      </c>
      <c r="W10" s="337"/>
    </row>
    <row r="11" spans="1:23" ht="12.75">
      <c r="A11" s="146"/>
      <c r="B11" s="163">
        <f t="shared" si="0"/>
      </c>
      <c r="C11" s="167"/>
      <c r="D11" s="175"/>
      <c r="E11" s="171">
        <f t="shared" si="1"/>
      </c>
      <c r="F11" s="165">
        <f t="shared" si="2"/>
      </c>
      <c r="G11" s="166">
        <f t="shared" si="3"/>
        <v>0</v>
      </c>
      <c r="H11" s="145"/>
      <c r="I11" s="145"/>
      <c r="J11" s="134" t="e">
        <f t="shared" si="4"/>
        <v>#N/A</v>
      </c>
      <c r="K11" s="142" t="s">
        <v>3765</v>
      </c>
      <c r="L11" s="141" t="e">
        <f ca="1" t="shared" si="5"/>
        <v>#N/A</v>
      </c>
      <c r="M11" s="141" t="e">
        <f ca="1" t="shared" si="6"/>
        <v>#N/A</v>
      </c>
      <c r="N11" s="47" t="e">
        <f t="shared" si="7"/>
        <v>#N/A</v>
      </c>
      <c r="O11" s="47" t="s">
        <v>2114</v>
      </c>
      <c r="P11" s="47" t="e">
        <f t="shared" si="8"/>
        <v>#N/A</v>
      </c>
      <c r="Q11" s="139" t="s">
        <v>3764</v>
      </c>
      <c r="R11" s="47" t="e">
        <f t="shared" si="9"/>
        <v>#N/A</v>
      </c>
      <c r="S11" s="140"/>
      <c r="T11" s="47" t="s">
        <v>3749</v>
      </c>
      <c r="U11" s="47" t="s">
        <v>3758</v>
      </c>
      <c r="V11" s="141">
        <v>4952</v>
      </c>
      <c r="W11" s="139"/>
    </row>
    <row r="12" spans="1:23" ht="12.75">
      <c r="A12" s="146"/>
      <c r="B12" s="163">
        <f t="shared" si="0"/>
      </c>
      <c r="C12" s="167"/>
      <c r="D12" s="175"/>
      <c r="E12" s="171">
        <f t="shared" si="1"/>
      </c>
      <c r="F12" s="165">
        <f t="shared" si="2"/>
      </c>
      <c r="G12" s="166">
        <f t="shared" si="3"/>
        <v>0</v>
      </c>
      <c r="H12" s="145"/>
      <c r="I12" s="145"/>
      <c r="J12" s="134" t="e">
        <f t="shared" si="4"/>
        <v>#N/A</v>
      </c>
      <c r="K12" s="142" t="s">
        <v>3766</v>
      </c>
      <c r="L12" s="141" t="e">
        <f ca="1" t="shared" si="5"/>
        <v>#N/A</v>
      </c>
      <c r="M12" s="141" t="e">
        <f ca="1" t="shared" si="6"/>
        <v>#N/A</v>
      </c>
      <c r="N12" s="47" t="e">
        <f t="shared" si="7"/>
        <v>#N/A</v>
      </c>
      <c r="O12" s="47" t="s">
        <v>2114</v>
      </c>
      <c r="P12" s="47" t="e">
        <f t="shared" si="8"/>
        <v>#N/A</v>
      </c>
      <c r="Q12" s="139" t="s">
        <v>3764</v>
      </c>
      <c r="R12" s="47" t="e">
        <f t="shared" si="9"/>
        <v>#N/A</v>
      </c>
      <c r="S12" s="140"/>
      <c r="T12" s="47" t="s">
        <v>3750</v>
      </c>
      <c r="U12" s="47" t="s">
        <v>3759</v>
      </c>
      <c r="V12" s="141">
        <v>3447</v>
      </c>
      <c r="W12" s="139"/>
    </row>
    <row r="13" spans="1:23" ht="12.75">
      <c r="A13" s="146"/>
      <c r="B13" s="163">
        <f t="shared" si="0"/>
      </c>
      <c r="C13" s="167"/>
      <c r="D13" s="175"/>
      <c r="E13" s="171">
        <f t="shared" si="1"/>
      </c>
      <c r="F13" s="165">
        <f t="shared" si="2"/>
      </c>
      <c r="G13" s="166">
        <f t="shared" si="3"/>
        <v>0</v>
      </c>
      <c r="H13" s="145"/>
      <c r="I13" s="145"/>
      <c r="J13" s="134" t="e">
        <f t="shared" si="4"/>
        <v>#N/A</v>
      </c>
      <c r="K13" s="142" t="s">
        <v>3767</v>
      </c>
      <c r="L13" s="141" t="e">
        <f ca="1" t="shared" si="5"/>
        <v>#N/A</v>
      </c>
      <c r="M13" s="141" t="e">
        <f ca="1" t="shared" si="6"/>
        <v>#N/A</v>
      </c>
      <c r="N13" s="47" t="e">
        <f t="shared" si="7"/>
        <v>#N/A</v>
      </c>
      <c r="O13" s="47" t="s">
        <v>2114</v>
      </c>
      <c r="P13" s="47" t="e">
        <f t="shared" si="8"/>
        <v>#N/A</v>
      </c>
      <c r="Q13" s="139" t="s">
        <v>3764</v>
      </c>
      <c r="R13" s="47" t="e">
        <f t="shared" si="9"/>
        <v>#N/A</v>
      </c>
      <c r="S13" s="140"/>
      <c r="T13" s="47" t="s">
        <v>3751</v>
      </c>
      <c r="U13" s="47" t="s">
        <v>3760</v>
      </c>
      <c r="V13" s="141">
        <v>3447</v>
      </c>
      <c r="W13" s="139"/>
    </row>
    <row r="14" spans="1:23" ht="12.75">
      <c r="A14" s="146"/>
      <c r="B14" s="163">
        <f t="shared" si="0"/>
      </c>
      <c r="C14" s="167"/>
      <c r="D14" s="175"/>
      <c r="E14" s="171">
        <f t="shared" si="1"/>
      </c>
      <c r="F14" s="165">
        <f t="shared" si="2"/>
      </c>
      <c r="G14" s="166">
        <f t="shared" si="3"/>
        <v>0</v>
      </c>
      <c r="H14" s="145"/>
      <c r="I14" s="145"/>
      <c r="J14" s="134" t="e">
        <f t="shared" si="4"/>
        <v>#N/A</v>
      </c>
      <c r="K14" s="142" t="s">
        <v>3768</v>
      </c>
      <c r="L14" s="141" t="e">
        <f ca="1" t="shared" si="5"/>
        <v>#N/A</v>
      </c>
      <c r="M14" s="141" t="e">
        <f ca="1" t="shared" si="6"/>
        <v>#N/A</v>
      </c>
      <c r="N14" s="47" t="e">
        <f t="shared" si="7"/>
        <v>#N/A</v>
      </c>
      <c r="O14" s="47" t="s">
        <v>2114</v>
      </c>
      <c r="P14" s="47" t="e">
        <f t="shared" si="8"/>
        <v>#N/A</v>
      </c>
      <c r="Q14" s="139" t="s">
        <v>3764</v>
      </c>
      <c r="R14" s="47" t="e">
        <f t="shared" si="9"/>
        <v>#N/A</v>
      </c>
      <c r="S14" s="140"/>
      <c r="T14" s="47" t="s">
        <v>3752</v>
      </c>
      <c r="U14" s="47" t="s">
        <v>3761</v>
      </c>
      <c r="V14" s="141">
        <v>3447</v>
      </c>
      <c r="W14" s="139"/>
    </row>
    <row r="15" spans="1:23" ht="12.75">
      <c r="A15" s="146"/>
      <c r="B15" s="163">
        <f t="shared" si="0"/>
      </c>
      <c r="C15" s="167"/>
      <c r="D15" s="175"/>
      <c r="E15" s="171">
        <f t="shared" si="1"/>
      </c>
      <c r="F15" s="165">
        <f t="shared" si="2"/>
      </c>
      <c r="G15" s="166">
        <f t="shared" si="3"/>
        <v>0</v>
      </c>
      <c r="H15" s="145"/>
      <c r="I15" s="145"/>
      <c r="J15" s="134" t="e">
        <f t="shared" si="4"/>
        <v>#N/A</v>
      </c>
      <c r="K15" s="142" t="s">
        <v>3769</v>
      </c>
      <c r="L15" s="141" t="e">
        <f ca="1" t="shared" si="5"/>
        <v>#N/A</v>
      </c>
      <c r="M15" s="141" t="e">
        <f ca="1" t="shared" si="6"/>
        <v>#N/A</v>
      </c>
      <c r="N15" s="47" t="e">
        <f t="shared" si="7"/>
        <v>#N/A</v>
      </c>
      <c r="O15" s="47" t="s">
        <v>2114</v>
      </c>
      <c r="P15" s="47" t="e">
        <f t="shared" si="8"/>
        <v>#N/A</v>
      </c>
      <c r="Q15" s="139" t="s">
        <v>3764</v>
      </c>
      <c r="R15" s="47" t="e">
        <f t="shared" si="9"/>
        <v>#N/A</v>
      </c>
      <c r="S15" s="140"/>
      <c r="T15" s="47" t="s">
        <v>3753</v>
      </c>
      <c r="U15" s="47" t="s">
        <v>3762</v>
      </c>
      <c r="V15" s="141">
        <v>3447</v>
      </c>
      <c r="W15" s="139"/>
    </row>
    <row r="16" spans="1:23" ht="12.75">
      <c r="A16" s="146"/>
      <c r="B16" s="163">
        <f t="shared" si="0"/>
      </c>
      <c r="C16" s="167"/>
      <c r="D16" s="175"/>
      <c r="E16" s="171">
        <f t="shared" si="1"/>
      </c>
      <c r="F16" s="165">
        <f t="shared" si="2"/>
      </c>
      <c r="G16" s="166">
        <f t="shared" si="3"/>
        <v>0</v>
      </c>
      <c r="H16" s="145"/>
      <c r="I16" s="145"/>
      <c r="J16" s="134" t="e">
        <f t="shared" si="4"/>
        <v>#N/A</v>
      </c>
      <c r="K16" s="142" t="s">
        <v>3770</v>
      </c>
      <c r="L16" s="141" t="e">
        <f ca="1" t="shared" si="5"/>
        <v>#N/A</v>
      </c>
      <c r="M16" s="141" t="e">
        <f ca="1" t="shared" si="6"/>
        <v>#N/A</v>
      </c>
      <c r="N16" s="47" t="e">
        <f t="shared" si="7"/>
        <v>#N/A</v>
      </c>
      <c r="O16" s="47" t="s">
        <v>2114</v>
      </c>
      <c r="P16" s="47" t="e">
        <f t="shared" si="8"/>
        <v>#N/A</v>
      </c>
      <c r="Q16" s="139" t="s">
        <v>3764</v>
      </c>
      <c r="R16" s="47" t="e">
        <f t="shared" si="9"/>
        <v>#N/A</v>
      </c>
      <c r="S16" s="140"/>
      <c r="T16" s="47" t="s">
        <v>3754</v>
      </c>
      <c r="U16" s="47" t="s">
        <v>3147</v>
      </c>
      <c r="V16" s="141">
        <v>3447</v>
      </c>
      <c r="W16" s="139"/>
    </row>
    <row r="17" spans="1:23" ht="12.75">
      <c r="A17" s="146"/>
      <c r="B17" s="163">
        <f t="shared" si="0"/>
      </c>
      <c r="C17" s="167"/>
      <c r="D17" s="175"/>
      <c r="E17" s="171">
        <f t="shared" si="1"/>
      </c>
      <c r="F17" s="165">
        <f t="shared" si="2"/>
      </c>
      <c r="G17" s="166">
        <f t="shared" si="3"/>
        <v>0</v>
      </c>
      <c r="H17" s="145"/>
      <c r="I17" s="145"/>
      <c r="J17" s="134" t="e">
        <f t="shared" si="4"/>
        <v>#N/A</v>
      </c>
      <c r="K17" s="142" t="s">
        <v>3771</v>
      </c>
      <c r="L17" s="141" t="e">
        <f ca="1" t="shared" si="5"/>
        <v>#N/A</v>
      </c>
      <c r="M17" s="141" t="e">
        <f ca="1" t="shared" si="6"/>
        <v>#N/A</v>
      </c>
      <c r="N17" s="47" t="e">
        <f t="shared" si="7"/>
        <v>#N/A</v>
      </c>
      <c r="O17" s="47" t="s">
        <v>2114</v>
      </c>
      <c r="P17" s="47" t="e">
        <f t="shared" si="8"/>
        <v>#N/A</v>
      </c>
      <c r="Q17" s="139" t="s">
        <v>3764</v>
      </c>
      <c r="R17" s="47" t="e">
        <f t="shared" si="9"/>
        <v>#N/A</v>
      </c>
      <c r="S17" s="140"/>
      <c r="T17" s="47" t="s">
        <v>837</v>
      </c>
      <c r="U17" s="47" t="s">
        <v>2385</v>
      </c>
      <c r="V17" s="141">
        <v>3447</v>
      </c>
      <c r="W17" s="139"/>
    </row>
    <row r="18" spans="1:23" ht="12.75">
      <c r="A18" s="146"/>
      <c r="B18" s="163">
        <f t="shared" si="0"/>
      </c>
      <c r="C18" s="167"/>
      <c r="D18" s="175"/>
      <c r="E18" s="171">
        <f t="shared" si="1"/>
      </c>
      <c r="F18" s="165">
        <f t="shared" si="2"/>
      </c>
      <c r="G18" s="166">
        <f t="shared" si="3"/>
        <v>0</v>
      </c>
      <c r="H18" s="145"/>
      <c r="I18" s="145"/>
      <c r="J18" s="134" t="e">
        <f t="shared" si="4"/>
        <v>#N/A</v>
      </c>
      <c r="K18" s="142" t="s">
        <v>3772</v>
      </c>
      <c r="L18" s="141" t="e">
        <f ca="1" t="shared" si="5"/>
        <v>#N/A</v>
      </c>
      <c r="M18" s="141" t="e">
        <f ca="1" t="shared" si="6"/>
        <v>#N/A</v>
      </c>
      <c r="N18" s="47" t="e">
        <f t="shared" si="7"/>
        <v>#N/A</v>
      </c>
      <c r="O18" s="47" t="s">
        <v>2114</v>
      </c>
      <c r="P18" s="47" t="e">
        <f t="shared" si="8"/>
        <v>#N/A</v>
      </c>
      <c r="Q18" s="139" t="s">
        <v>3764</v>
      </c>
      <c r="R18" s="47" t="e">
        <f t="shared" si="9"/>
        <v>#N/A</v>
      </c>
      <c r="S18" s="140"/>
      <c r="T18" s="47" t="s">
        <v>3755</v>
      </c>
      <c r="U18" s="47" t="s">
        <v>3148</v>
      </c>
      <c r="V18" s="141">
        <v>3447</v>
      </c>
      <c r="W18" s="139"/>
    </row>
    <row r="19" spans="1:23" ht="12.75">
      <c r="A19" s="146"/>
      <c r="B19" s="163">
        <f t="shared" si="0"/>
      </c>
      <c r="C19" s="167"/>
      <c r="D19" s="175"/>
      <c r="E19" s="171">
        <f t="shared" si="1"/>
      </c>
      <c r="F19" s="165">
        <f t="shared" si="2"/>
      </c>
      <c r="G19" s="166">
        <f t="shared" si="3"/>
        <v>0</v>
      </c>
      <c r="H19" s="145"/>
      <c r="I19" s="145"/>
      <c r="J19" s="134" t="e">
        <f t="shared" si="4"/>
        <v>#N/A</v>
      </c>
      <c r="K19" s="142" t="s">
        <v>3773</v>
      </c>
      <c r="L19" s="141" t="e">
        <f ca="1" t="shared" si="5"/>
        <v>#N/A</v>
      </c>
      <c r="M19" s="141" t="e">
        <f ca="1" t="shared" si="6"/>
        <v>#N/A</v>
      </c>
      <c r="N19" s="47" t="e">
        <f t="shared" si="7"/>
        <v>#N/A</v>
      </c>
      <c r="O19" s="47" t="s">
        <v>2114</v>
      </c>
      <c r="P19" s="47" t="e">
        <f t="shared" si="8"/>
        <v>#N/A</v>
      </c>
      <c r="Q19" s="139" t="s">
        <v>3764</v>
      </c>
      <c r="R19" s="47" t="e">
        <f t="shared" si="9"/>
        <v>#N/A</v>
      </c>
      <c r="S19" s="140"/>
      <c r="T19" s="47" t="s">
        <v>3756</v>
      </c>
      <c r="U19" s="47" t="s">
        <v>3149</v>
      </c>
      <c r="V19" s="141">
        <v>7112</v>
      </c>
      <c r="W19" s="139"/>
    </row>
    <row r="20" spans="1:23" ht="12.75">
      <c r="A20" s="146"/>
      <c r="B20" s="163">
        <f t="shared" si="0"/>
      </c>
      <c r="C20" s="167"/>
      <c r="D20" s="175"/>
      <c r="E20" s="171">
        <f t="shared" si="1"/>
      </c>
      <c r="F20" s="165">
        <f t="shared" si="2"/>
      </c>
      <c r="G20" s="166">
        <f t="shared" si="3"/>
        <v>0</v>
      </c>
      <c r="H20" s="145"/>
      <c r="I20" s="145"/>
      <c r="J20" s="134" t="e">
        <f t="shared" si="4"/>
        <v>#N/A</v>
      </c>
      <c r="K20" s="142" t="s">
        <v>3774</v>
      </c>
      <c r="L20" s="141" t="e">
        <f ca="1" t="shared" si="5"/>
        <v>#N/A</v>
      </c>
      <c r="M20" s="141" t="e">
        <f ca="1" t="shared" si="6"/>
        <v>#N/A</v>
      </c>
      <c r="N20" s="47" t="e">
        <f t="shared" si="7"/>
        <v>#N/A</v>
      </c>
      <c r="O20" s="47" t="s">
        <v>2114</v>
      </c>
      <c r="P20" s="47" t="e">
        <f t="shared" si="8"/>
        <v>#N/A</v>
      </c>
      <c r="Q20" s="139" t="s">
        <v>3764</v>
      </c>
      <c r="R20" s="47" t="e">
        <f t="shared" si="9"/>
        <v>#N/A</v>
      </c>
      <c r="S20" s="140"/>
      <c r="T20" s="47" t="s">
        <v>3757</v>
      </c>
      <c r="U20" s="47" t="s">
        <v>3376</v>
      </c>
      <c r="V20" s="141">
        <v>7112</v>
      </c>
      <c r="W20" s="139"/>
    </row>
    <row r="21" spans="1:23" ht="12.75">
      <c r="A21" s="146"/>
      <c r="B21" s="163">
        <f t="shared" si="0"/>
      </c>
      <c r="C21" s="167"/>
      <c r="D21" s="175"/>
      <c r="E21" s="171">
        <f t="shared" si="1"/>
      </c>
      <c r="F21" s="165">
        <f t="shared" si="2"/>
      </c>
      <c r="G21" s="166">
        <f t="shared" si="3"/>
        <v>0</v>
      </c>
      <c r="H21" s="145"/>
      <c r="I21" s="145"/>
      <c r="J21" s="134" t="e">
        <f t="shared" si="4"/>
        <v>#N/A</v>
      </c>
      <c r="K21" s="142" t="s">
        <v>3775</v>
      </c>
      <c r="L21" s="141" t="e">
        <f ca="1" t="shared" si="5"/>
        <v>#N/A</v>
      </c>
      <c r="M21" s="141" t="e">
        <f ca="1" t="shared" si="6"/>
        <v>#N/A</v>
      </c>
      <c r="N21" s="47" t="e">
        <f t="shared" si="7"/>
        <v>#N/A</v>
      </c>
      <c r="O21" s="47" t="s">
        <v>2114</v>
      </c>
      <c r="P21" s="47" t="e">
        <f t="shared" si="8"/>
        <v>#N/A</v>
      </c>
      <c r="Q21" s="139" t="s">
        <v>3764</v>
      </c>
      <c r="R21" s="47" t="e">
        <f t="shared" si="9"/>
        <v>#N/A</v>
      </c>
      <c r="S21" s="140"/>
      <c r="T21" s="47" t="s">
        <v>2383</v>
      </c>
      <c r="U21" s="47" t="s">
        <v>504</v>
      </c>
      <c r="V21" s="141">
        <v>2733</v>
      </c>
      <c r="W21" s="337"/>
    </row>
    <row r="22" spans="1:23" ht="12.75">
      <c r="A22" s="146"/>
      <c r="B22" s="163">
        <f t="shared" si="0"/>
      </c>
      <c r="C22" s="167"/>
      <c r="D22" s="175"/>
      <c r="E22" s="171">
        <f t="shared" si="1"/>
      </c>
      <c r="F22" s="165">
        <f t="shared" si="2"/>
      </c>
      <c r="G22" s="166">
        <f t="shared" si="3"/>
        <v>0</v>
      </c>
      <c r="H22" s="145"/>
      <c r="I22" s="145"/>
      <c r="J22" s="134" t="e">
        <f t="shared" si="4"/>
        <v>#N/A</v>
      </c>
      <c r="K22" s="142" t="s">
        <v>3776</v>
      </c>
      <c r="L22" s="141" t="e">
        <f ca="1" t="shared" si="5"/>
        <v>#N/A</v>
      </c>
      <c r="M22" s="141" t="e">
        <f ca="1" t="shared" si="6"/>
        <v>#N/A</v>
      </c>
      <c r="N22" s="47" t="e">
        <f t="shared" si="7"/>
        <v>#N/A</v>
      </c>
      <c r="O22" s="47" t="s">
        <v>2114</v>
      </c>
      <c r="P22" s="47" t="e">
        <f t="shared" si="8"/>
        <v>#N/A</v>
      </c>
      <c r="Q22" s="139" t="s">
        <v>3764</v>
      </c>
      <c r="R22" s="47" t="e">
        <f t="shared" si="9"/>
        <v>#N/A</v>
      </c>
      <c r="S22" s="140"/>
      <c r="T22" s="47" t="s">
        <v>2384</v>
      </c>
      <c r="U22" s="47" t="s">
        <v>506</v>
      </c>
      <c r="V22" s="141">
        <v>4998</v>
      </c>
      <c r="W22" s="337"/>
    </row>
    <row r="23" spans="1:23" ht="12.75">
      <c r="A23" s="146"/>
      <c r="B23" s="163">
        <f t="shared" si="0"/>
      </c>
      <c r="C23" s="167"/>
      <c r="D23" s="175"/>
      <c r="E23" s="171">
        <f t="shared" si="1"/>
      </c>
      <c r="F23" s="165">
        <f t="shared" si="2"/>
      </c>
      <c r="G23" s="166">
        <f t="shared" si="3"/>
        <v>0</v>
      </c>
      <c r="H23" s="145"/>
      <c r="I23" s="145"/>
      <c r="J23" s="134" t="e">
        <f t="shared" si="4"/>
        <v>#N/A</v>
      </c>
      <c r="K23" s="142" t="s">
        <v>3777</v>
      </c>
      <c r="L23" s="141" t="e">
        <f ca="1" t="shared" si="5"/>
        <v>#N/A</v>
      </c>
      <c r="M23" s="141" t="e">
        <f ca="1" t="shared" si="6"/>
        <v>#N/A</v>
      </c>
      <c r="N23" s="47" t="e">
        <f t="shared" si="7"/>
        <v>#N/A</v>
      </c>
      <c r="O23" s="47" t="s">
        <v>2114</v>
      </c>
      <c r="P23" s="47" t="e">
        <f t="shared" si="8"/>
        <v>#N/A</v>
      </c>
      <c r="Q23" s="139" t="s">
        <v>3764</v>
      </c>
      <c r="R23" s="47" t="e">
        <f t="shared" si="9"/>
        <v>#N/A</v>
      </c>
      <c r="S23" s="140"/>
      <c r="T23" s="47" t="s">
        <v>3176</v>
      </c>
      <c r="U23" s="47" t="s">
        <v>507</v>
      </c>
      <c r="V23" s="141">
        <v>4998</v>
      </c>
      <c r="W23" s="337"/>
    </row>
    <row r="24" spans="1:23" ht="12.75">
      <c r="A24" s="146"/>
      <c r="B24" s="163">
        <f t="shared" si="0"/>
      </c>
      <c r="C24" s="167"/>
      <c r="D24" s="175"/>
      <c r="E24" s="171">
        <f t="shared" si="1"/>
      </c>
      <c r="F24" s="165">
        <f t="shared" si="2"/>
      </c>
      <c r="G24" s="166">
        <f t="shared" si="3"/>
        <v>0</v>
      </c>
      <c r="H24" s="145"/>
      <c r="I24" s="145"/>
      <c r="J24" s="134" t="e">
        <f t="shared" si="4"/>
        <v>#N/A</v>
      </c>
      <c r="K24" s="142" t="s">
        <v>3778</v>
      </c>
      <c r="L24" s="141" t="e">
        <f ca="1" t="shared" si="5"/>
        <v>#N/A</v>
      </c>
      <c r="M24" s="141" t="e">
        <f ca="1" t="shared" si="6"/>
        <v>#N/A</v>
      </c>
      <c r="N24" s="47" t="e">
        <f t="shared" si="7"/>
        <v>#N/A</v>
      </c>
      <c r="O24" s="47" t="s">
        <v>2114</v>
      </c>
      <c r="P24" s="47" t="e">
        <f t="shared" si="8"/>
        <v>#N/A</v>
      </c>
      <c r="Q24" s="139" t="s">
        <v>3764</v>
      </c>
      <c r="R24" s="47" t="e">
        <f t="shared" si="9"/>
        <v>#N/A</v>
      </c>
      <c r="S24" s="140"/>
      <c r="T24" s="47" t="s">
        <v>3177</v>
      </c>
      <c r="U24" s="47" t="s">
        <v>508</v>
      </c>
      <c r="V24" s="141">
        <v>2733</v>
      </c>
      <c r="W24" s="337"/>
    </row>
    <row r="25" spans="1:23" ht="12.75">
      <c r="A25" s="146"/>
      <c r="B25" s="163">
        <f t="shared" si="0"/>
      </c>
      <c r="C25" s="167"/>
      <c r="D25" s="175"/>
      <c r="E25" s="171">
        <f t="shared" si="1"/>
      </c>
      <c r="F25" s="165">
        <f t="shared" si="2"/>
      </c>
      <c r="G25" s="166">
        <f t="shared" si="3"/>
        <v>0</v>
      </c>
      <c r="H25" s="145"/>
      <c r="I25" s="145"/>
      <c r="J25" s="134" t="e">
        <f t="shared" si="4"/>
        <v>#N/A</v>
      </c>
      <c r="K25" s="142" t="s">
        <v>3779</v>
      </c>
      <c r="L25" s="141" t="e">
        <f ca="1" t="shared" si="5"/>
        <v>#N/A</v>
      </c>
      <c r="M25" s="141" t="e">
        <f ca="1" t="shared" si="6"/>
        <v>#N/A</v>
      </c>
      <c r="N25" s="47" t="e">
        <f t="shared" si="7"/>
        <v>#N/A</v>
      </c>
      <c r="O25" s="47" t="s">
        <v>2114</v>
      </c>
      <c r="P25" s="47" t="e">
        <f t="shared" si="8"/>
        <v>#N/A</v>
      </c>
      <c r="Q25" s="139" t="s">
        <v>3764</v>
      </c>
      <c r="R25" s="47" t="e">
        <f t="shared" si="9"/>
        <v>#N/A</v>
      </c>
      <c r="S25" s="140"/>
      <c r="T25" s="47" t="s">
        <v>3178</v>
      </c>
      <c r="U25" s="47" t="s">
        <v>509</v>
      </c>
      <c r="V25" s="141">
        <v>2733</v>
      </c>
      <c r="W25" s="337"/>
    </row>
    <row r="26" spans="1:23" ht="12.75">
      <c r="A26" s="146"/>
      <c r="B26" s="163">
        <f t="shared" si="0"/>
      </c>
      <c r="C26" s="167"/>
      <c r="D26" s="175"/>
      <c r="E26" s="171">
        <f t="shared" si="1"/>
      </c>
      <c r="F26" s="165">
        <f t="shared" si="2"/>
      </c>
      <c r="G26" s="166">
        <f t="shared" si="3"/>
        <v>0</v>
      </c>
      <c r="H26" s="145"/>
      <c r="I26" s="145"/>
      <c r="J26" s="134" t="e">
        <f t="shared" si="4"/>
        <v>#N/A</v>
      </c>
      <c r="K26" s="142" t="s">
        <v>3780</v>
      </c>
      <c r="L26" s="141" t="e">
        <f ca="1" t="shared" si="5"/>
        <v>#N/A</v>
      </c>
      <c r="M26" s="141" t="e">
        <f ca="1" t="shared" si="6"/>
        <v>#N/A</v>
      </c>
      <c r="N26" s="47" t="e">
        <f t="shared" si="7"/>
        <v>#N/A</v>
      </c>
      <c r="O26" s="47" t="s">
        <v>2114</v>
      </c>
      <c r="P26" s="47" t="e">
        <f t="shared" si="8"/>
        <v>#N/A</v>
      </c>
      <c r="Q26" s="139" t="s">
        <v>3764</v>
      </c>
      <c r="R26" s="47" t="e">
        <f t="shared" si="9"/>
        <v>#N/A</v>
      </c>
      <c r="S26" s="140"/>
      <c r="T26" s="47" t="s">
        <v>3179</v>
      </c>
      <c r="U26" s="47" t="s">
        <v>510</v>
      </c>
      <c r="V26" s="141">
        <v>2733</v>
      </c>
      <c r="W26" s="337"/>
    </row>
    <row r="27" spans="1:23" ht="12.75">
      <c r="A27" s="146"/>
      <c r="B27" s="163">
        <f t="shared" si="0"/>
      </c>
      <c r="C27" s="167"/>
      <c r="D27" s="175"/>
      <c r="E27" s="171">
        <f t="shared" si="1"/>
      </c>
      <c r="F27" s="165">
        <f t="shared" si="2"/>
      </c>
      <c r="G27" s="166">
        <f t="shared" si="3"/>
        <v>0</v>
      </c>
      <c r="H27" s="145"/>
      <c r="I27" s="145"/>
      <c r="J27" s="134" t="e">
        <f t="shared" si="4"/>
        <v>#N/A</v>
      </c>
      <c r="K27" s="142" t="s">
        <v>3781</v>
      </c>
      <c r="L27" s="141" t="e">
        <f ca="1" t="shared" si="5"/>
        <v>#N/A</v>
      </c>
      <c r="M27" s="141" t="e">
        <f ca="1" t="shared" si="6"/>
        <v>#N/A</v>
      </c>
      <c r="N27" s="47" t="e">
        <f t="shared" si="7"/>
        <v>#N/A</v>
      </c>
      <c r="O27" s="47" t="s">
        <v>2114</v>
      </c>
      <c r="P27" s="47" t="e">
        <f t="shared" si="8"/>
        <v>#N/A</v>
      </c>
      <c r="Q27" s="139" t="s">
        <v>3764</v>
      </c>
      <c r="R27" s="47" t="e">
        <f t="shared" si="9"/>
        <v>#N/A</v>
      </c>
      <c r="S27" s="140"/>
      <c r="T27" s="47" t="s">
        <v>3180</v>
      </c>
      <c r="U27" s="47" t="s">
        <v>511</v>
      </c>
      <c r="V27" s="141">
        <v>2733</v>
      </c>
      <c r="W27" s="337"/>
    </row>
    <row r="28" spans="1:23" ht="12.75">
      <c r="A28" s="146"/>
      <c r="B28" s="163">
        <f t="shared" si="0"/>
      </c>
      <c r="C28" s="167"/>
      <c r="D28" s="175"/>
      <c r="E28" s="171">
        <f t="shared" si="1"/>
      </c>
      <c r="F28" s="165">
        <f t="shared" si="2"/>
      </c>
      <c r="G28" s="166">
        <f t="shared" si="3"/>
        <v>0</v>
      </c>
      <c r="H28" s="145"/>
      <c r="I28" s="145"/>
      <c r="J28" s="134" t="e">
        <f t="shared" si="4"/>
        <v>#N/A</v>
      </c>
      <c r="K28" s="142" t="s">
        <v>3782</v>
      </c>
      <c r="L28" s="141" t="e">
        <f ca="1" t="shared" si="5"/>
        <v>#N/A</v>
      </c>
      <c r="M28" s="141" t="e">
        <f ca="1" t="shared" si="6"/>
        <v>#N/A</v>
      </c>
      <c r="N28" s="47" t="e">
        <f t="shared" si="7"/>
        <v>#N/A</v>
      </c>
      <c r="O28" s="47" t="s">
        <v>2114</v>
      </c>
      <c r="P28" s="47" t="e">
        <f t="shared" si="8"/>
        <v>#N/A</v>
      </c>
      <c r="Q28" s="139" t="s">
        <v>3764</v>
      </c>
      <c r="R28" s="47" t="e">
        <f t="shared" si="9"/>
        <v>#N/A</v>
      </c>
      <c r="S28" s="140"/>
      <c r="T28" s="47" t="s">
        <v>3181</v>
      </c>
      <c r="U28" s="47" t="s">
        <v>512</v>
      </c>
      <c r="V28" s="141">
        <v>2733</v>
      </c>
      <c r="W28" s="337"/>
    </row>
    <row r="29" spans="1:23" ht="12.75">
      <c r="A29" s="146"/>
      <c r="B29" s="163">
        <f t="shared" si="0"/>
      </c>
      <c r="C29" s="167"/>
      <c r="D29" s="175"/>
      <c r="E29" s="171">
        <f t="shared" si="1"/>
      </c>
      <c r="F29" s="165">
        <f t="shared" si="2"/>
      </c>
      <c r="G29" s="166">
        <f t="shared" si="3"/>
        <v>0</v>
      </c>
      <c r="H29" s="145"/>
      <c r="I29" s="145"/>
      <c r="J29" s="134" t="e">
        <f t="shared" si="4"/>
        <v>#N/A</v>
      </c>
      <c r="K29" s="142" t="s">
        <v>3783</v>
      </c>
      <c r="L29" s="141" t="e">
        <f ca="1" t="shared" si="5"/>
        <v>#N/A</v>
      </c>
      <c r="M29" s="141" t="e">
        <f ca="1" t="shared" si="6"/>
        <v>#N/A</v>
      </c>
      <c r="N29" s="47" t="e">
        <f t="shared" si="7"/>
        <v>#N/A</v>
      </c>
      <c r="O29" s="47" t="s">
        <v>2114</v>
      </c>
      <c r="P29" s="47" t="e">
        <f t="shared" si="8"/>
        <v>#N/A</v>
      </c>
      <c r="Q29" s="139" t="s">
        <v>3764</v>
      </c>
      <c r="R29" s="47" t="e">
        <f t="shared" si="9"/>
        <v>#N/A</v>
      </c>
      <c r="S29" s="140"/>
      <c r="T29" s="47" t="s">
        <v>3182</v>
      </c>
      <c r="U29" s="47" t="s">
        <v>513</v>
      </c>
      <c r="V29" s="141">
        <v>2733</v>
      </c>
      <c r="W29" s="337"/>
    </row>
    <row r="30" spans="1:23" ht="12.75">
      <c r="A30" s="146"/>
      <c r="B30" s="163">
        <f t="shared" si="0"/>
      </c>
      <c r="C30" s="167"/>
      <c r="D30" s="175"/>
      <c r="E30" s="171">
        <f t="shared" si="1"/>
      </c>
      <c r="F30" s="165">
        <f t="shared" si="2"/>
      </c>
      <c r="G30" s="166">
        <f t="shared" si="3"/>
        <v>0</v>
      </c>
      <c r="H30" s="145"/>
      <c r="I30" s="145"/>
      <c r="J30" s="134" t="e">
        <f t="shared" si="4"/>
        <v>#N/A</v>
      </c>
      <c r="K30" s="142" t="s">
        <v>3784</v>
      </c>
      <c r="L30" s="141" t="e">
        <f ca="1" t="shared" si="5"/>
        <v>#N/A</v>
      </c>
      <c r="M30" s="141" t="e">
        <f ca="1" t="shared" si="6"/>
        <v>#N/A</v>
      </c>
      <c r="N30" s="47" t="e">
        <f t="shared" si="7"/>
        <v>#N/A</v>
      </c>
      <c r="O30" s="47" t="s">
        <v>2114</v>
      </c>
      <c r="P30" s="47" t="e">
        <f t="shared" si="8"/>
        <v>#N/A</v>
      </c>
      <c r="Q30" s="139" t="s">
        <v>3764</v>
      </c>
      <c r="R30" s="47" t="e">
        <f t="shared" si="9"/>
        <v>#N/A</v>
      </c>
      <c r="S30" s="140"/>
      <c r="T30" s="47" t="s">
        <v>3183</v>
      </c>
      <c r="U30" s="47" t="s">
        <v>514</v>
      </c>
      <c r="V30" s="141">
        <v>2733</v>
      </c>
      <c r="W30" s="337"/>
    </row>
    <row r="31" spans="1:23" ht="12.75">
      <c r="A31" s="146"/>
      <c r="B31" s="163">
        <f t="shared" si="0"/>
      </c>
      <c r="C31" s="167"/>
      <c r="D31" s="175"/>
      <c r="E31" s="171">
        <f t="shared" si="1"/>
      </c>
      <c r="F31" s="165">
        <f t="shared" si="2"/>
      </c>
      <c r="G31" s="166">
        <f t="shared" si="3"/>
        <v>0</v>
      </c>
      <c r="H31" s="145"/>
      <c r="I31" s="145"/>
      <c r="J31" s="134" t="e">
        <f t="shared" si="4"/>
        <v>#N/A</v>
      </c>
      <c r="K31" s="142" t="s">
        <v>3785</v>
      </c>
      <c r="L31" s="141" t="e">
        <f ca="1" t="shared" si="5"/>
        <v>#N/A</v>
      </c>
      <c r="M31" s="141" t="e">
        <f ca="1" t="shared" si="6"/>
        <v>#N/A</v>
      </c>
      <c r="N31" s="47" t="e">
        <f t="shared" si="7"/>
        <v>#N/A</v>
      </c>
      <c r="O31" s="47" t="s">
        <v>2114</v>
      </c>
      <c r="P31" s="47" t="e">
        <f t="shared" si="8"/>
        <v>#N/A</v>
      </c>
      <c r="Q31" s="139" t="s">
        <v>3764</v>
      </c>
      <c r="R31" s="47" t="e">
        <f t="shared" si="9"/>
        <v>#N/A</v>
      </c>
      <c r="S31" s="140"/>
      <c r="T31" s="47" t="s">
        <v>3184</v>
      </c>
      <c r="U31" s="47" t="s">
        <v>515</v>
      </c>
      <c r="V31" s="141">
        <v>2733</v>
      </c>
      <c r="W31" s="337"/>
    </row>
    <row r="32" spans="1:23" ht="12.75">
      <c r="A32" s="146"/>
      <c r="B32" s="156">
        <f t="shared" si="0"/>
      </c>
      <c r="C32" s="157"/>
      <c r="D32" s="176"/>
      <c r="E32" s="172">
        <f t="shared" si="1"/>
      </c>
      <c r="F32" s="158">
        <f t="shared" si="2"/>
      </c>
      <c r="G32" s="159">
        <f t="shared" si="3"/>
        <v>0</v>
      </c>
      <c r="H32" s="145"/>
      <c r="I32" s="145"/>
      <c r="J32" s="134" t="e">
        <f t="shared" si="4"/>
        <v>#N/A</v>
      </c>
      <c r="K32" s="142" t="s">
        <v>3763</v>
      </c>
      <c r="L32" s="141" t="e">
        <f ca="1" t="shared" si="5"/>
        <v>#N/A</v>
      </c>
      <c r="M32" s="141" t="e">
        <f ca="1" t="shared" si="6"/>
        <v>#N/A</v>
      </c>
      <c r="N32" s="47" t="e">
        <f t="shared" si="7"/>
        <v>#N/A</v>
      </c>
      <c r="O32" s="47" t="s">
        <v>2114</v>
      </c>
      <c r="P32" s="47" t="e">
        <f t="shared" si="8"/>
        <v>#N/A</v>
      </c>
      <c r="Q32" s="139" t="s">
        <v>3764</v>
      </c>
      <c r="R32" s="47" t="e">
        <f t="shared" si="9"/>
        <v>#N/A</v>
      </c>
      <c r="S32" s="140"/>
      <c r="T32" s="47" t="s">
        <v>3185</v>
      </c>
      <c r="U32" s="47" t="s">
        <v>516</v>
      </c>
      <c r="V32" s="141">
        <v>4998</v>
      </c>
      <c r="W32" s="337"/>
    </row>
    <row r="33" spans="1:23" ht="12.75">
      <c r="A33" s="146"/>
      <c r="B33" s="147"/>
      <c r="C33" s="147"/>
      <c r="D33" s="148"/>
      <c r="E33" s="144"/>
      <c r="F33" s="144"/>
      <c r="G33" s="144"/>
      <c r="H33" s="144"/>
      <c r="I33" s="144"/>
      <c r="S33" s="140"/>
      <c r="T33" s="47" t="s">
        <v>3186</v>
      </c>
      <c r="U33" s="47" t="s">
        <v>517</v>
      </c>
      <c r="V33" s="141">
        <v>4998</v>
      </c>
      <c r="W33" s="337"/>
    </row>
    <row r="34" spans="1:23" ht="12.75">
      <c r="A34" s="146"/>
      <c r="B34" s="106" t="str">
        <f>IF(G34=0,"Zadej minimálně jedno objednací číslo (bez mezer) a počet ks!","")</f>
        <v>Zadej minimálně jedno objednací číslo (bez mezer) a počet ks!</v>
      </c>
      <c r="C34" s="106"/>
      <c r="D34" s="177"/>
      <c r="E34" s="144"/>
      <c r="F34" s="149" t="s">
        <v>2810</v>
      </c>
      <c r="G34" s="136">
        <f>SUM(G3:G32)</f>
        <v>0</v>
      </c>
      <c r="H34" s="144"/>
      <c r="I34" s="144"/>
      <c r="S34" s="140"/>
      <c r="T34" s="47" t="s">
        <v>3187</v>
      </c>
      <c r="U34" s="47" t="s">
        <v>518</v>
      </c>
      <c r="V34" s="141">
        <v>3905</v>
      </c>
      <c r="W34" s="337"/>
    </row>
    <row r="35" spans="1:23" ht="12.75">
      <c r="A35" s="146"/>
      <c r="B35" s="106"/>
      <c r="C35" s="106"/>
      <c r="D35" s="177"/>
      <c r="E35" s="144"/>
      <c r="F35" s="149" t="s">
        <v>4313</v>
      </c>
      <c r="G35" s="143"/>
      <c r="H35" s="144"/>
      <c r="I35" s="144"/>
      <c r="S35" s="140"/>
      <c r="T35" s="47" t="s">
        <v>3188</v>
      </c>
      <c r="U35" s="47" t="s">
        <v>519</v>
      </c>
      <c r="V35" s="141">
        <v>3905</v>
      </c>
      <c r="W35" s="337"/>
    </row>
    <row r="36" spans="1:23" ht="12.75">
      <c r="A36" s="146"/>
      <c r="B36" s="106"/>
      <c r="C36" s="106"/>
      <c r="D36" s="177"/>
      <c r="E36" s="144"/>
      <c r="F36" s="149" t="s">
        <v>2812</v>
      </c>
      <c r="G36" s="136">
        <f>G35*G34</f>
        <v>0</v>
      </c>
      <c r="H36" s="144"/>
      <c r="I36" s="144"/>
      <c r="S36" s="140"/>
      <c r="T36" s="47" t="s">
        <v>3189</v>
      </c>
      <c r="U36" s="47" t="s">
        <v>520</v>
      </c>
      <c r="V36" s="141">
        <v>3905</v>
      </c>
      <c r="W36" s="337"/>
    </row>
    <row r="37" spans="1:23" ht="15">
      <c r="A37" s="146"/>
      <c r="B37" s="106"/>
      <c r="C37" s="106"/>
      <c r="D37" s="178"/>
      <c r="E37" s="144"/>
      <c r="F37" s="150" t="s">
        <v>2811</v>
      </c>
      <c r="G37" s="151">
        <f>G34-G36</f>
        <v>0</v>
      </c>
      <c r="H37" s="144"/>
      <c r="I37" s="144"/>
      <c r="S37" s="140"/>
      <c r="T37" s="47" t="s">
        <v>3190</v>
      </c>
      <c r="U37" s="47" t="s">
        <v>521</v>
      </c>
      <c r="V37" s="141">
        <v>3905</v>
      </c>
      <c r="W37" s="337"/>
    </row>
    <row r="38" spans="1:23" ht="12.75">
      <c r="A38" s="146"/>
      <c r="B38" s="106"/>
      <c r="C38" s="147"/>
      <c r="D38" s="147"/>
      <c r="E38" s="148"/>
      <c r="F38" s="144"/>
      <c r="G38" s="144"/>
      <c r="H38" s="144"/>
      <c r="I38" s="144"/>
      <c r="S38" s="140"/>
      <c r="T38" s="47" t="s">
        <v>3191</v>
      </c>
      <c r="U38" s="47" t="s">
        <v>522</v>
      </c>
      <c r="V38" s="141">
        <v>3905</v>
      </c>
      <c r="W38" s="337"/>
    </row>
    <row r="39" spans="1:23" ht="12.75">
      <c r="A39" s="146"/>
      <c r="B39" s="147"/>
      <c r="C39" s="147"/>
      <c r="D39" s="148"/>
      <c r="E39" s="144"/>
      <c r="F39" s="144"/>
      <c r="G39" s="144"/>
      <c r="H39" s="144"/>
      <c r="I39" s="144"/>
      <c r="S39" s="140"/>
      <c r="T39" s="47" t="s">
        <v>3192</v>
      </c>
      <c r="U39" s="47" t="s">
        <v>523</v>
      </c>
      <c r="V39" s="141">
        <v>3905</v>
      </c>
      <c r="W39" s="337"/>
    </row>
    <row r="40" spans="1:23" ht="12.75">
      <c r="A40" s="146"/>
      <c r="B40" s="147"/>
      <c r="C40" s="147"/>
      <c r="D40" s="148"/>
      <c r="E40" s="144"/>
      <c r="F40" s="144"/>
      <c r="G40" s="144"/>
      <c r="H40" s="144"/>
      <c r="I40" s="144"/>
      <c r="S40" s="140"/>
      <c r="T40" s="47" t="s">
        <v>3193</v>
      </c>
      <c r="U40" s="47" t="s">
        <v>524</v>
      </c>
      <c r="V40" s="141">
        <v>3905</v>
      </c>
      <c r="W40" s="337"/>
    </row>
    <row r="41" spans="1:23" ht="12.75">
      <c r="A41" s="146"/>
      <c r="B41" s="147"/>
      <c r="C41" s="147"/>
      <c r="D41" s="148"/>
      <c r="E41" s="144"/>
      <c r="F41" s="144"/>
      <c r="G41" s="144"/>
      <c r="H41" s="144"/>
      <c r="I41" s="144"/>
      <c r="S41" s="140"/>
      <c r="T41" s="47" t="s">
        <v>3194</v>
      </c>
      <c r="U41" s="47" t="s">
        <v>525</v>
      </c>
      <c r="V41" s="141">
        <v>3905</v>
      </c>
      <c r="W41" s="337"/>
    </row>
    <row r="42" spans="1:23" ht="12.75">
      <c r="A42" s="146"/>
      <c r="B42" s="147"/>
      <c r="C42" s="147"/>
      <c r="D42" s="148"/>
      <c r="E42" s="144"/>
      <c r="F42" s="144"/>
      <c r="G42" s="144"/>
      <c r="H42" s="144"/>
      <c r="I42" s="144"/>
      <c r="S42" s="140"/>
      <c r="T42" s="47" t="s">
        <v>3195</v>
      </c>
      <c r="U42" s="47" t="s">
        <v>526</v>
      </c>
      <c r="V42" s="141">
        <v>6248</v>
      </c>
      <c r="W42" s="337"/>
    </row>
    <row r="43" spans="1:23" ht="12.75">
      <c r="A43" s="146"/>
      <c r="B43" s="147"/>
      <c r="C43" s="147"/>
      <c r="D43" s="148"/>
      <c r="E43" s="144"/>
      <c r="F43" s="144"/>
      <c r="G43" s="144"/>
      <c r="H43" s="144"/>
      <c r="I43" s="144"/>
      <c r="S43" s="140"/>
      <c r="T43" s="47" t="s">
        <v>3196</v>
      </c>
      <c r="U43" s="47" t="s">
        <v>527</v>
      </c>
      <c r="V43" s="141">
        <v>6248</v>
      </c>
      <c r="W43" s="337"/>
    </row>
    <row r="44" spans="1:23" ht="12.75">
      <c r="A44" s="146"/>
      <c r="B44" s="147"/>
      <c r="C44" s="147"/>
      <c r="D44" s="148"/>
      <c r="E44" s="144"/>
      <c r="F44" s="144"/>
      <c r="G44" s="144"/>
      <c r="H44" s="144"/>
      <c r="I44" s="144"/>
      <c r="S44" s="140"/>
      <c r="T44" s="47" t="s">
        <v>3197</v>
      </c>
      <c r="U44" s="47" t="s">
        <v>528</v>
      </c>
      <c r="V44" s="141">
        <v>6941</v>
      </c>
      <c r="W44" s="337"/>
    </row>
    <row r="45" spans="1:23" ht="12.75">
      <c r="A45" s="146"/>
      <c r="B45" s="147"/>
      <c r="C45" s="147"/>
      <c r="D45" s="148"/>
      <c r="E45" s="144"/>
      <c r="F45" s="144"/>
      <c r="G45" s="144"/>
      <c r="H45" s="144"/>
      <c r="I45" s="144"/>
      <c r="S45" s="140"/>
      <c r="T45" s="47" t="s">
        <v>3198</v>
      </c>
      <c r="U45" s="47" t="s">
        <v>530</v>
      </c>
      <c r="V45" s="141">
        <v>6941</v>
      </c>
      <c r="W45" s="337"/>
    </row>
    <row r="46" spans="1:23" ht="12.75">
      <c r="A46" s="146"/>
      <c r="B46" s="147"/>
      <c r="C46" s="147"/>
      <c r="D46" s="148"/>
      <c r="E46" s="144"/>
      <c r="F46" s="144"/>
      <c r="G46" s="144"/>
      <c r="H46" s="144"/>
      <c r="I46" s="144"/>
      <c r="S46" s="140"/>
      <c r="T46" s="47" t="s">
        <v>3199</v>
      </c>
      <c r="U46" s="47" t="s">
        <v>531</v>
      </c>
      <c r="V46" s="141">
        <v>6941</v>
      </c>
      <c r="W46" s="337"/>
    </row>
    <row r="47" spans="1:23" ht="12.75">
      <c r="A47" s="146"/>
      <c r="B47" s="147"/>
      <c r="C47" s="147"/>
      <c r="D47" s="148"/>
      <c r="E47" s="144"/>
      <c r="F47" s="144"/>
      <c r="G47" s="144"/>
      <c r="H47" s="144"/>
      <c r="I47" s="144"/>
      <c r="S47" s="140"/>
      <c r="T47" s="47" t="s">
        <v>3200</v>
      </c>
      <c r="U47" s="47" t="s">
        <v>532</v>
      </c>
      <c r="V47" s="141">
        <v>6941</v>
      </c>
      <c r="W47" s="337"/>
    </row>
    <row r="48" spans="1:23" ht="12.75">
      <c r="A48" s="146"/>
      <c r="B48" s="147"/>
      <c r="C48" s="147"/>
      <c r="D48" s="148"/>
      <c r="E48" s="144"/>
      <c r="F48" s="144"/>
      <c r="G48" s="144"/>
      <c r="H48" s="144"/>
      <c r="I48" s="144"/>
      <c r="S48" s="140"/>
      <c r="T48" s="47" t="s">
        <v>3201</v>
      </c>
      <c r="U48" s="47" t="s">
        <v>535</v>
      </c>
      <c r="V48" s="141">
        <v>6941</v>
      </c>
      <c r="W48" s="337"/>
    </row>
    <row r="49" spans="1:23" ht="12.75">
      <c r="A49" s="146"/>
      <c r="B49" s="147"/>
      <c r="C49" s="147"/>
      <c r="D49" s="148"/>
      <c r="E49" s="144"/>
      <c r="F49" s="144"/>
      <c r="G49" s="144"/>
      <c r="H49" s="144"/>
      <c r="I49" s="144"/>
      <c r="S49" s="140"/>
      <c r="T49" s="47" t="s">
        <v>3202</v>
      </c>
      <c r="U49" s="47" t="s">
        <v>537</v>
      </c>
      <c r="V49" s="141">
        <v>17005</v>
      </c>
      <c r="W49" s="337"/>
    </row>
    <row r="50" spans="1:23" ht="12.75">
      <c r="A50" s="146"/>
      <c r="B50" s="147"/>
      <c r="C50" s="147"/>
      <c r="D50" s="148"/>
      <c r="E50" s="144"/>
      <c r="F50" s="144"/>
      <c r="G50" s="144"/>
      <c r="H50" s="144"/>
      <c r="I50" s="144"/>
      <c r="S50" s="140"/>
      <c r="T50" s="47" t="s">
        <v>3203</v>
      </c>
      <c r="U50" s="47" t="s">
        <v>538</v>
      </c>
      <c r="V50" s="141">
        <v>17005</v>
      </c>
      <c r="W50" s="337"/>
    </row>
    <row r="51" spans="1:23" ht="12.75">
      <c r="A51" s="146"/>
      <c r="B51" s="147"/>
      <c r="C51" s="147"/>
      <c r="D51" s="148"/>
      <c r="E51" s="144"/>
      <c r="F51" s="144"/>
      <c r="G51" s="144"/>
      <c r="H51" s="144"/>
      <c r="I51" s="144"/>
      <c r="S51" s="140"/>
      <c r="T51" s="47" t="s">
        <v>3204</v>
      </c>
      <c r="U51" s="47" t="s">
        <v>540</v>
      </c>
      <c r="V51" s="141">
        <v>17005</v>
      </c>
      <c r="W51" s="337"/>
    </row>
    <row r="52" spans="1:23" ht="12.75">
      <c r="A52" s="146"/>
      <c r="B52" s="147"/>
      <c r="C52" s="147"/>
      <c r="D52" s="148"/>
      <c r="E52" s="144"/>
      <c r="F52" s="144"/>
      <c r="G52" s="144"/>
      <c r="H52" s="144"/>
      <c r="I52" s="144"/>
      <c r="S52" s="140"/>
      <c r="T52" s="47" t="s">
        <v>3205</v>
      </c>
      <c r="U52" s="47" t="s">
        <v>542</v>
      </c>
      <c r="V52" s="141">
        <v>17005</v>
      </c>
      <c r="W52" s="337"/>
    </row>
    <row r="53" spans="1:23" ht="12.75">
      <c r="A53" s="146"/>
      <c r="B53" s="147"/>
      <c r="C53" s="147"/>
      <c r="D53" s="148"/>
      <c r="E53" s="144"/>
      <c r="F53" s="144"/>
      <c r="G53" s="144"/>
      <c r="H53" s="144"/>
      <c r="I53" s="144"/>
      <c r="S53" s="140"/>
      <c r="T53" s="47" t="s">
        <v>3206</v>
      </c>
      <c r="U53" s="47" t="s">
        <v>196</v>
      </c>
      <c r="V53" s="141">
        <v>1054</v>
      </c>
      <c r="W53" s="337"/>
    </row>
    <row r="54" spans="1:23" ht="12.75">
      <c r="A54" s="146"/>
      <c r="B54" s="147"/>
      <c r="C54" s="147"/>
      <c r="D54" s="148"/>
      <c r="E54" s="144"/>
      <c r="F54" s="144"/>
      <c r="G54" s="144"/>
      <c r="H54" s="144"/>
      <c r="I54" s="144"/>
      <c r="S54" s="140"/>
      <c r="T54" s="47" t="s">
        <v>3207</v>
      </c>
      <c r="U54" s="47" t="s">
        <v>4988</v>
      </c>
      <c r="V54" s="141">
        <v>1512</v>
      </c>
      <c r="W54" s="337"/>
    </row>
    <row r="55" spans="1:23" ht="12.75">
      <c r="A55" s="146"/>
      <c r="B55" s="147"/>
      <c r="C55" s="147"/>
      <c r="D55" s="148"/>
      <c r="E55" s="144"/>
      <c r="F55" s="144"/>
      <c r="G55" s="144"/>
      <c r="H55" s="144"/>
      <c r="I55" s="144"/>
      <c r="S55" s="140"/>
      <c r="T55" s="47" t="s">
        <v>811</v>
      </c>
      <c r="U55" s="47" t="s">
        <v>4925</v>
      </c>
      <c r="V55" s="141">
        <v>4408</v>
      </c>
      <c r="W55" s="337"/>
    </row>
    <row r="56" spans="1:23" ht="12.75">
      <c r="A56" s="146"/>
      <c r="B56" s="147"/>
      <c r="C56" s="147"/>
      <c r="D56" s="148"/>
      <c r="E56" s="144"/>
      <c r="F56" s="144"/>
      <c r="G56" s="144"/>
      <c r="H56" s="144"/>
      <c r="I56" s="144"/>
      <c r="S56" s="140"/>
      <c r="T56" s="47" t="s">
        <v>4880</v>
      </c>
      <c r="U56" s="47" t="s">
        <v>4881</v>
      </c>
      <c r="V56" s="141">
        <v>4849</v>
      </c>
      <c r="W56" s="139"/>
    </row>
    <row r="57" spans="1:23" ht="12.75">
      <c r="A57" s="146"/>
      <c r="B57" s="147"/>
      <c r="C57" s="147"/>
      <c r="D57" s="148"/>
      <c r="E57" s="144"/>
      <c r="F57" s="144"/>
      <c r="G57" s="144"/>
      <c r="H57" s="144"/>
      <c r="I57" s="144"/>
      <c r="S57" s="140"/>
      <c r="T57" s="47" t="s">
        <v>812</v>
      </c>
      <c r="U57" s="47" t="s">
        <v>3417</v>
      </c>
      <c r="V57" s="141">
        <v>7306</v>
      </c>
      <c r="W57" s="337"/>
    </row>
    <row r="58" spans="1:23" ht="12.75">
      <c r="A58" s="146"/>
      <c r="B58" s="147"/>
      <c r="C58" s="147"/>
      <c r="D58" s="148"/>
      <c r="E58" s="144"/>
      <c r="F58" s="144"/>
      <c r="G58" s="144"/>
      <c r="H58" s="144"/>
      <c r="I58" s="144"/>
      <c r="S58" s="140"/>
      <c r="T58" s="47" t="s">
        <v>3208</v>
      </c>
      <c r="U58" s="47" t="s">
        <v>546</v>
      </c>
      <c r="V58" s="141">
        <v>2897</v>
      </c>
      <c r="W58" s="139"/>
    </row>
    <row r="59" spans="1:23" ht="12.75">
      <c r="A59" s="146"/>
      <c r="B59" s="147"/>
      <c r="C59" s="147"/>
      <c r="D59" s="148"/>
      <c r="E59" s="144"/>
      <c r="F59" s="144"/>
      <c r="G59" s="144"/>
      <c r="H59" s="144"/>
      <c r="I59" s="144"/>
      <c r="S59" s="140"/>
      <c r="T59" s="47" t="s">
        <v>4882</v>
      </c>
      <c r="U59" s="47" t="s">
        <v>4883</v>
      </c>
      <c r="V59" s="141">
        <v>8037</v>
      </c>
      <c r="W59" s="139"/>
    </row>
    <row r="60" spans="1:23" ht="12.75">
      <c r="A60" s="146"/>
      <c r="B60" s="147"/>
      <c r="C60" s="147"/>
      <c r="D60" s="148"/>
      <c r="E60" s="144"/>
      <c r="F60" s="144"/>
      <c r="G60" s="144"/>
      <c r="H60" s="144"/>
      <c r="I60" s="144"/>
      <c r="S60" s="140"/>
      <c r="T60" s="47" t="s">
        <v>3209</v>
      </c>
      <c r="U60" s="47" t="s">
        <v>2406</v>
      </c>
      <c r="V60" s="141">
        <v>11689</v>
      </c>
      <c r="W60" s="139"/>
    </row>
    <row r="61" spans="1:23" ht="12.75">
      <c r="A61" s="146"/>
      <c r="B61" s="147"/>
      <c r="C61" s="147"/>
      <c r="D61" s="148"/>
      <c r="E61" s="144"/>
      <c r="F61" s="144"/>
      <c r="G61" s="144"/>
      <c r="H61" s="144"/>
      <c r="I61" s="144"/>
      <c r="S61" s="140"/>
      <c r="T61" s="47" t="s">
        <v>3210</v>
      </c>
      <c r="U61" s="47" t="s">
        <v>2406</v>
      </c>
      <c r="V61" s="141">
        <v>12987</v>
      </c>
      <c r="W61" s="139"/>
    </row>
    <row r="62" spans="1:23" ht="12.75">
      <c r="A62" s="146"/>
      <c r="B62" s="147"/>
      <c r="C62" s="147"/>
      <c r="D62" s="148"/>
      <c r="E62" s="144"/>
      <c r="F62" s="144"/>
      <c r="G62" s="144"/>
      <c r="H62" s="144"/>
      <c r="I62" s="144"/>
      <c r="S62" s="140"/>
      <c r="T62" s="47" t="s">
        <v>4884</v>
      </c>
      <c r="U62" s="47" t="s">
        <v>197</v>
      </c>
      <c r="V62" s="141">
        <v>12857</v>
      </c>
      <c r="W62" s="139"/>
    </row>
    <row r="63" spans="1:23" ht="12.75">
      <c r="A63" s="146"/>
      <c r="B63" s="147"/>
      <c r="C63" s="147"/>
      <c r="D63" s="148"/>
      <c r="E63" s="144"/>
      <c r="F63" s="144"/>
      <c r="G63" s="144"/>
      <c r="H63" s="144"/>
      <c r="I63" s="144"/>
      <c r="S63" s="140"/>
      <c r="T63" s="47" t="s">
        <v>4885</v>
      </c>
      <c r="U63" s="47" t="s">
        <v>197</v>
      </c>
      <c r="V63" s="141">
        <v>14287</v>
      </c>
      <c r="W63" s="139"/>
    </row>
    <row r="64" spans="1:23" ht="12.75">
      <c r="A64" s="146"/>
      <c r="B64" s="147"/>
      <c r="C64" s="147"/>
      <c r="D64" s="148"/>
      <c r="E64" s="144"/>
      <c r="F64" s="144"/>
      <c r="G64" s="144"/>
      <c r="H64" s="144"/>
      <c r="I64" s="144"/>
      <c r="S64" s="140"/>
      <c r="T64" s="47" t="s">
        <v>3211</v>
      </c>
      <c r="U64" s="47" t="s">
        <v>551</v>
      </c>
      <c r="V64" s="141">
        <v>6397</v>
      </c>
      <c r="W64" s="337"/>
    </row>
    <row r="65" spans="1:23" ht="12.75">
      <c r="A65" s="146"/>
      <c r="B65" s="147"/>
      <c r="C65" s="147"/>
      <c r="D65" s="148"/>
      <c r="E65" s="144"/>
      <c r="F65" s="144"/>
      <c r="G65" s="144"/>
      <c r="H65" s="144"/>
      <c r="I65" s="144"/>
      <c r="S65" s="140"/>
      <c r="T65" s="47" t="s">
        <v>3212</v>
      </c>
      <c r="U65" s="47" t="s">
        <v>456</v>
      </c>
      <c r="V65" s="141">
        <v>9648</v>
      </c>
      <c r="W65" s="337"/>
    </row>
    <row r="66" spans="1:23" ht="12.75">
      <c r="A66" s="146"/>
      <c r="B66" s="147"/>
      <c r="C66" s="147"/>
      <c r="D66" s="148"/>
      <c r="E66" s="144"/>
      <c r="F66" s="144"/>
      <c r="G66" s="144"/>
      <c r="H66" s="144"/>
      <c r="I66" s="144"/>
      <c r="S66" s="140"/>
      <c r="T66" s="47" t="s">
        <v>3213</v>
      </c>
      <c r="U66" s="47" t="s">
        <v>2267</v>
      </c>
      <c r="V66" s="141">
        <v>9648</v>
      </c>
      <c r="W66" s="139"/>
    </row>
    <row r="67" spans="1:23" ht="12.75">
      <c r="A67" s="146"/>
      <c r="B67" s="147"/>
      <c r="C67" s="147"/>
      <c r="D67" s="148"/>
      <c r="E67" s="144"/>
      <c r="F67" s="144"/>
      <c r="G67" s="144"/>
      <c r="H67" s="144"/>
      <c r="I67" s="144"/>
      <c r="S67" s="140"/>
      <c r="T67" s="47" t="s">
        <v>3214</v>
      </c>
      <c r="U67" s="47" t="s">
        <v>2267</v>
      </c>
      <c r="V67" s="141">
        <v>9648</v>
      </c>
      <c r="W67" s="139"/>
    </row>
    <row r="68" spans="1:23" ht="12.75">
      <c r="A68" s="146"/>
      <c r="B68" s="147"/>
      <c r="C68" s="147"/>
      <c r="D68" s="148"/>
      <c r="E68" s="144"/>
      <c r="F68" s="144"/>
      <c r="G68" s="144"/>
      <c r="H68" s="144"/>
      <c r="I68" s="144"/>
      <c r="S68" s="140"/>
      <c r="T68" s="47" t="s">
        <v>3215</v>
      </c>
      <c r="U68" s="47" t="s">
        <v>2267</v>
      </c>
      <c r="V68" s="141">
        <v>9648</v>
      </c>
      <c r="W68" s="139"/>
    </row>
    <row r="69" spans="1:23" ht="12.75">
      <c r="A69" s="146"/>
      <c r="B69" s="147"/>
      <c r="C69" s="147"/>
      <c r="D69" s="148"/>
      <c r="E69" s="144"/>
      <c r="F69" s="144"/>
      <c r="G69" s="144"/>
      <c r="H69" s="144"/>
      <c r="I69" s="144"/>
      <c r="S69" s="140"/>
      <c r="T69" s="47" t="s">
        <v>3216</v>
      </c>
      <c r="U69" s="47" t="s">
        <v>2267</v>
      </c>
      <c r="V69" s="141">
        <v>9648</v>
      </c>
      <c r="W69" s="139"/>
    </row>
    <row r="70" spans="1:23" ht="12.75">
      <c r="A70" s="146"/>
      <c r="B70" s="147"/>
      <c r="C70" s="147"/>
      <c r="D70" s="148"/>
      <c r="E70" s="144"/>
      <c r="F70" s="144"/>
      <c r="G70" s="144"/>
      <c r="H70" s="144"/>
      <c r="I70" s="144"/>
      <c r="S70" s="140"/>
      <c r="T70" s="47" t="s">
        <v>3922</v>
      </c>
      <c r="U70" s="47" t="s">
        <v>551</v>
      </c>
      <c r="V70" s="141">
        <v>7038</v>
      </c>
      <c r="W70" s="139"/>
    </row>
    <row r="71" spans="1:23" ht="12.75">
      <c r="A71" s="146"/>
      <c r="B71" s="147"/>
      <c r="C71" s="147"/>
      <c r="D71" s="148"/>
      <c r="E71" s="144"/>
      <c r="F71" s="144"/>
      <c r="G71" s="144"/>
      <c r="H71" s="144"/>
      <c r="I71" s="144"/>
      <c r="S71" s="140"/>
      <c r="T71" s="47" t="s">
        <v>3923</v>
      </c>
      <c r="U71" s="47" t="s">
        <v>456</v>
      </c>
      <c r="V71" s="141">
        <v>10613</v>
      </c>
      <c r="W71" s="139"/>
    </row>
    <row r="72" spans="1:23" ht="12.75">
      <c r="A72" s="146"/>
      <c r="B72" s="147"/>
      <c r="C72" s="147"/>
      <c r="D72" s="148"/>
      <c r="E72" s="144"/>
      <c r="F72" s="144"/>
      <c r="G72" s="144"/>
      <c r="H72" s="144"/>
      <c r="I72" s="144"/>
      <c r="S72" s="140"/>
      <c r="T72" s="47" t="s">
        <v>3924</v>
      </c>
      <c r="U72" s="47" t="s">
        <v>2267</v>
      </c>
      <c r="V72" s="141">
        <v>10613</v>
      </c>
      <c r="W72" s="139"/>
    </row>
    <row r="73" spans="1:23" ht="12.75">
      <c r="A73" s="146"/>
      <c r="B73" s="147"/>
      <c r="C73" s="147"/>
      <c r="D73" s="148"/>
      <c r="E73" s="144"/>
      <c r="F73" s="144"/>
      <c r="G73" s="144"/>
      <c r="H73" s="144"/>
      <c r="I73" s="144"/>
      <c r="S73" s="140"/>
      <c r="T73" s="47" t="s">
        <v>3925</v>
      </c>
      <c r="U73" s="47" t="s">
        <v>2267</v>
      </c>
      <c r="V73" s="141">
        <v>10613</v>
      </c>
      <c r="W73" s="139"/>
    </row>
    <row r="74" spans="1:23" ht="12.75">
      <c r="A74" s="146"/>
      <c r="B74" s="147"/>
      <c r="C74" s="147"/>
      <c r="D74" s="148"/>
      <c r="E74" s="144"/>
      <c r="F74" s="144"/>
      <c r="G74" s="144"/>
      <c r="H74" s="144"/>
      <c r="I74" s="144"/>
      <c r="S74" s="140"/>
      <c r="T74" s="47" t="s">
        <v>3926</v>
      </c>
      <c r="U74" s="47" t="s">
        <v>2267</v>
      </c>
      <c r="V74" s="141">
        <v>10613</v>
      </c>
      <c r="W74" s="139"/>
    </row>
    <row r="75" spans="1:23" ht="12.75">
      <c r="A75" s="146"/>
      <c r="B75" s="147"/>
      <c r="C75" s="147"/>
      <c r="D75" s="148"/>
      <c r="E75" s="144"/>
      <c r="F75" s="144"/>
      <c r="G75" s="144"/>
      <c r="H75" s="144"/>
      <c r="I75" s="144"/>
      <c r="S75" s="140"/>
      <c r="T75" s="47" t="s">
        <v>810</v>
      </c>
      <c r="U75" s="47" t="s">
        <v>4924</v>
      </c>
      <c r="V75" s="141">
        <v>428</v>
      </c>
      <c r="W75" s="337"/>
    </row>
    <row r="76" spans="19:23" ht="12.75">
      <c r="S76" s="140"/>
      <c r="T76" s="47" t="s">
        <v>3217</v>
      </c>
      <c r="U76" s="47" t="s">
        <v>3427</v>
      </c>
      <c r="V76" s="141">
        <v>2141</v>
      </c>
      <c r="W76" s="337"/>
    </row>
    <row r="77" spans="19:23" ht="12.75">
      <c r="S77" s="140"/>
      <c r="T77" s="47" t="s">
        <v>3218</v>
      </c>
      <c r="U77" s="47" t="s">
        <v>3428</v>
      </c>
      <c r="V77" s="141">
        <v>2141</v>
      </c>
      <c r="W77" s="337"/>
    </row>
    <row r="78" spans="19:23" ht="12.75">
      <c r="S78" s="140"/>
      <c r="T78" s="47" t="s">
        <v>793</v>
      </c>
      <c r="U78" s="47" t="s">
        <v>1313</v>
      </c>
      <c r="V78" s="141">
        <v>5794</v>
      </c>
      <c r="W78" s="337"/>
    </row>
    <row r="79" spans="19:23" ht="12.75">
      <c r="S79" s="140"/>
      <c r="T79" s="47" t="s">
        <v>794</v>
      </c>
      <c r="U79" s="47" t="s">
        <v>1314</v>
      </c>
      <c r="V79" s="141">
        <v>5794</v>
      </c>
      <c r="W79" s="337"/>
    </row>
    <row r="80" spans="19:23" ht="12.75">
      <c r="S80" s="140"/>
      <c r="T80" s="47" t="s">
        <v>795</v>
      </c>
      <c r="U80" s="47" t="s">
        <v>1315</v>
      </c>
      <c r="V80" s="141">
        <v>5794</v>
      </c>
      <c r="W80" s="337"/>
    </row>
    <row r="81" spans="19:23" ht="12.75">
      <c r="S81" s="140"/>
      <c r="T81" s="47" t="s">
        <v>796</v>
      </c>
      <c r="U81" s="47" t="s">
        <v>1316</v>
      </c>
      <c r="V81" s="141">
        <v>5794</v>
      </c>
      <c r="W81" s="337"/>
    </row>
    <row r="82" spans="19:23" ht="12.75">
      <c r="S82" s="140"/>
      <c r="T82" s="47" t="s">
        <v>797</v>
      </c>
      <c r="U82" s="47" t="s">
        <v>1317</v>
      </c>
      <c r="V82" s="141">
        <v>6298</v>
      </c>
      <c r="W82" s="337"/>
    </row>
    <row r="83" spans="19:23" ht="12.75">
      <c r="S83" s="140"/>
      <c r="T83" s="47" t="s">
        <v>798</v>
      </c>
      <c r="U83" s="47" t="s">
        <v>1318</v>
      </c>
      <c r="V83" s="141">
        <v>16627</v>
      </c>
      <c r="W83" s="337"/>
    </row>
    <row r="84" spans="19:23" ht="12.75">
      <c r="S84" s="140"/>
      <c r="T84" s="47" t="s">
        <v>801</v>
      </c>
      <c r="U84" s="47" t="s">
        <v>1321</v>
      </c>
      <c r="V84" s="141">
        <v>7205</v>
      </c>
      <c r="W84" s="337"/>
    </row>
    <row r="85" spans="19:23" ht="12.75">
      <c r="S85" s="140"/>
      <c r="T85" s="47" t="s">
        <v>802</v>
      </c>
      <c r="U85" s="47" t="s">
        <v>2839</v>
      </c>
      <c r="V85" s="141">
        <v>7205</v>
      </c>
      <c r="W85" s="337"/>
    </row>
    <row r="86" spans="19:23" ht="12.75">
      <c r="S86" s="140"/>
      <c r="T86" s="47" t="s">
        <v>803</v>
      </c>
      <c r="U86" s="47" t="s">
        <v>2840</v>
      </c>
      <c r="V86" s="141">
        <v>8817</v>
      </c>
      <c r="W86" s="337"/>
    </row>
    <row r="87" spans="19:23" ht="12.75">
      <c r="S87" s="140"/>
      <c r="T87" s="47" t="s">
        <v>804</v>
      </c>
      <c r="U87" s="47" t="s">
        <v>2841</v>
      </c>
      <c r="V87" s="141">
        <v>9470</v>
      </c>
      <c r="W87" s="337"/>
    </row>
    <row r="88" spans="19:23" ht="12.75">
      <c r="S88" s="140"/>
      <c r="T88" s="47" t="s">
        <v>805</v>
      </c>
      <c r="U88" s="47" t="s">
        <v>2842</v>
      </c>
      <c r="V88" s="141">
        <v>9470</v>
      </c>
      <c r="W88" s="337"/>
    </row>
    <row r="89" spans="19:23" ht="12.75">
      <c r="S89" s="140"/>
      <c r="T89" s="47" t="s">
        <v>806</v>
      </c>
      <c r="U89" s="47" t="s">
        <v>4920</v>
      </c>
      <c r="V89" s="141">
        <v>22357</v>
      </c>
      <c r="W89" s="337"/>
    </row>
    <row r="90" spans="19:23" ht="12.75">
      <c r="S90" s="140"/>
      <c r="T90" s="47" t="s">
        <v>799</v>
      </c>
      <c r="U90" s="47" t="s">
        <v>1319</v>
      </c>
      <c r="V90" s="141">
        <v>20204</v>
      </c>
      <c r="W90" s="337"/>
    </row>
    <row r="91" spans="19:23" ht="12.75">
      <c r="S91" s="140"/>
      <c r="T91" s="47" t="s">
        <v>800</v>
      </c>
      <c r="U91" s="47" t="s">
        <v>1320</v>
      </c>
      <c r="V91" s="141">
        <v>20204</v>
      </c>
      <c r="W91" s="337"/>
    </row>
    <row r="92" spans="19:23" ht="12.75">
      <c r="S92" s="140"/>
      <c r="T92" s="47" t="s">
        <v>807</v>
      </c>
      <c r="U92" s="47" t="s">
        <v>4921</v>
      </c>
      <c r="V92" s="141">
        <v>22357</v>
      </c>
      <c r="W92" s="337"/>
    </row>
    <row r="93" spans="19:23" ht="12.75">
      <c r="S93" s="140"/>
      <c r="T93" s="47" t="s">
        <v>808</v>
      </c>
      <c r="U93" s="47" t="s">
        <v>4922</v>
      </c>
      <c r="V93" s="141">
        <v>27082</v>
      </c>
      <c r="W93" s="337"/>
    </row>
    <row r="94" spans="19:23" ht="12.75">
      <c r="S94" s="140"/>
      <c r="T94" s="47" t="s">
        <v>809</v>
      </c>
      <c r="U94" s="47" t="s">
        <v>4923</v>
      </c>
      <c r="V94" s="141">
        <v>27082</v>
      </c>
      <c r="W94" s="337"/>
    </row>
    <row r="95" spans="19:23" ht="12.75">
      <c r="S95" s="140"/>
      <c r="T95" s="47" t="s">
        <v>3219</v>
      </c>
      <c r="U95" s="47" t="s">
        <v>2241</v>
      </c>
      <c r="V95" s="141">
        <v>4496</v>
      </c>
      <c r="W95" s="337"/>
    </row>
    <row r="96" spans="19:23" ht="12.75">
      <c r="S96" s="140"/>
      <c r="T96" s="47" t="s">
        <v>3220</v>
      </c>
      <c r="U96" s="47" t="s">
        <v>560</v>
      </c>
      <c r="V96" s="141">
        <v>1411</v>
      </c>
      <c r="W96" s="337"/>
    </row>
    <row r="97" spans="19:23" ht="12.75">
      <c r="S97" s="140"/>
      <c r="T97" s="47" t="s">
        <v>3221</v>
      </c>
      <c r="U97" s="47" t="s">
        <v>561</v>
      </c>
      <c r="V97" s="141">
        <v>1411</v>
      </c>
      <c r="W97" s="337"/>
    </row>
    <row r="98" spans="19:23" ht="12.75">
      <c r="S98" s="140"/>
      <c r="T98" s="47" t="s">
        <v>3222</v>
      </c>
      <c r="U98" s="47" t="s">
        <v>562</v>
      </c>
      <c r="V98" s="141">
        <v>1411</v>
      </c>
      <c r="W98" s="337"/>
    </row>
    <row r="99" spans="19:23" ht="12.75">
      <c r="S99" s="140"/>
      <c r="T99" s="47" t="s">
        <v>3223</v>
      </c>
      <c r="U99" s="47" t="s">
        <v>563</v>
      </c>
      <c r="V99" s="141">
        <v>1411</v>
      </c>
      <c r="W99" s="337"/>
    </row>
    <row r="100" spans="19:23" ht="12.75">
      <c r="S100" s="140"/>
      <c r="T100" s="47" t="s">
        <v>3224</v>
      </c>
      <c r="U100" s="47" t="s">
        <v>564</v>
      </c>
      <c r="V100" s="141">
        <v>1411</v>
      </c>
      <c r="W100" s="337"/>
    </row>
    <row r="101" spans="19:23" ht="12.75">
      <c r="S101" s="140"/>
      <c r="T101" s="47" t="s">
        <v>3225</v>
      </c>
      <c r="U101" s="47" t="s">
        <v>565</v>
      </c>
      <c r="V101" s="141">
        <v>1235</v>
      </c>
      <c r="W101" s="337"/>
    </row>
    <row r="102" spans="19:23" ht="12.75">
      <c r="S102" s="140"/>
      <c r="T102" s="47" t="s">
        <v>3226</v>
      </c>
      <c r="U102" s="47" t="s">
        <v>567</v>
      </c>
      <c r="V102" s="141">
        <v>1903</v>
      </c>
      <c r="W102" s="337"/>
    </row>
    <row r="103" spans="19:23" ht="12.75">
      <c r="S103" s="140"/>
      <c r="T103" s="47" t="s">
        <v>3227</v>
      </c>
      <c r="U103" s="47" t="s">
        <v>568</v>
      </c>
      <c r="V103" s="141">
        <v>1903</v>
      </c>
      <c r="W103" s="337"/>
    </row>
    <row r="104" spans="19:23" ht="12.75">
      <c r="S104" s="140"/>
      <c r="T104" s="47" t="s">
        <v>3228</v>
      </c>
      <c r="U104" s="47" t="s">
        <v>1360</v>
      </c>
      <c r="V104" s="141">
        <v>1903</v>
      </c>
      <c r="W104" s="337"/>
    </row>
    <row r="105" spans="19:23" ht="12.75">
      <c r="S105" s="140"/>
      <c r="T105" s="47" t="s">
        <v>3229</v>
      </c>
      <c r="U105" s="47" t="s">
        <v>570</v>
      </c>
      <c r="V105" s="141">
        <v>1903</v>
      </c>
      <c r="W105" s="337"/>
    </row>
    <row r="106" spans="19:23" ht="12.75">
      <c r="S106" s="140"/>
      <c r="T106" s="47" t="s">
        <v>3230</v>
      </c>
      <c r="U106" s="47" t="s">
        <v>571</v>
      </c>
      <c r="V106" s="141">
        <v>1903</v>
      </c>
      <c r="W106" s="337"/>
    </row>
    <row r="107" spans="19:23" ht="12.75">
      <c r="S107" s="140"/>
      <c r="T107" s="47" t="s">
        <v>3231</v>
      </c>
      <c r="U107" s="47" t="s">
        <v>1361</v>
      </c>
      <c r="V107" s="141">
        <v>1361</v>
      </c>
      <c r="W107" s="337"/>
    </row>
    <row r="108" spans="19:23" ht="12.75">
      <c r="S108" s="140"/>
      <c r="T108" s="47" t="s">
        <v>3232</v>
      </c>
      <c r="U108" s="47" t="s">
        <v>1364</v>
      </c>
      <c r="V108" s="141">
        <v>417</v>
      </c>
      <c r="W108" s="337"/>
    </row>
    <row r="109" spans="19:23" ht="12.75">
      <c r="S109" s="140"/>
      <c r="T109" s="47" t="s">
        <v>3233</v>
      </c>
      <c r="U109" s="47" t="s">
        <v>2407</v>
      </c>
      <c r="V109" s="141">
        <v>8331</v>
      </c>
      <c r="W109" s="139"/>
    </row>
    <row r="110" spans="19:23" ht="12.75">
      <c r="S110" s="140"/>
      <c r="T110" s="47" t="s">
        <v>3234</v>
      </c>
      <c r="U110" s="47" t="s">
        <v>2243</v>
      </c>
      <c r="V110" s="141">
        <v>443</v>
      </c>
      <c r="W110" s="337"/>
    </row>
    <row r="111" spans="19:23" ht="12.75">
      <c r="S111" s="140"/>
      <c r="T111" s="47" t="s">
        <v>3235</v>
      </c>
      <c r="U111" s="47" t="s">
        <v>573</v>
      </c>
      <c r="V111" s="141">
        <v>6140</v>
      </c>
      <c r="W111" s="337"/>
    </row>
    <row r="112" spans="19:23" ht="12.75">
      <c r="S112" s="140"/>
      <c r="T112" s="47" t="s">
        <v>814</v>
      </c>
      <c r="U112" s="47" t="s">
        <v>3419</v>
      </c>
      <c r="V112" s="141">
        <v>4233</v>
      </c>
      <c r="W112" s="337"/>
    </row>
    <row r="113" spans="19:23" ht="12.75">
      <c r="S113" s="140"/>
      <c r="T113" s="47" t="s">
        <v>815</v>
      </c>
      <c r="U113" s="47" t="s">
        <v>3420</v>
      </c>
      <c r="V113" s="141">
        <v>5441</v>
      </c>
      <c r="W113" s="337"/>
    </row>
    <row r="114" spans="19:23" ht="12.75">
      <c r="S114" s="140"/>
      <c r="T114" s="47" t="s">
        <v>816</v>
      </c>
      <c r="U114" s="47" t="s">
        <v>3421</v>
      </c>
      <c r="V114" s="141">
        <v>5441</v>
      </c>
      <c r="W114" s="337"/>
    </row>
    <row r="115" spans="19:23" ht="12.75">
      <c r="S115" s="140"/>
      <c r="T115" s="47" t="s">
        <v>817</v>
      </c>
      <c r="U115" s="47" t="s">
        <v>3422</v>
      </c>
      <c r="V115" s="141">
        <v>5441</v>
      </c>
      <c r="W115" s="337"/>
    </row>
    <row r="116" spans="19:23" ht="12.75">
      <c r="S116" s="140"/>
      <c r="T116" s="47" t="s">
        <v>818</v>
      </c>
      <c r="U116" s="47" t="s">
        <v>3423</v>
      </c>
      <c r="V116" s="141">
        <v>4233</v>
      </c>
      <c r="W116" s="337"/>
    </row>
    <row r="117" spans="19:23" ht="12.75">
      <c r="S117" s="140"/>
      <c r="T117" s="47" t="s">
        <v>819</v>
      </c>
      <c r="U117" s="47" t="s">
        <v>3424</v>
      </c>
      <c r="V117" s="141">
        <v>5441</v>
      </c>
      <c r="W117" s="337"/>
    </row>
    <row r="118" spans="19:23" ht="12.75">
      <c r="S118" s="140"/>
      <c r="T118" s="47" t="s">
        <v>820</v>
      </c>
      <c r="U118" s="47" t="s">
        <v>3425</v>
      </c>
      <c r="V118" s="141">
        <v>5441</v>
      </c>
      <c r="W118" s="337"/>
    </row>
    <row r="119" spans="19:23" ht="12.75">
      <c r="S119" s="140"/>
      <c r="T119" s="47" t="s">
        <v>821</v>
      </c>
      <c r="U119" s="47" t="s">
        <v>3426</v>
      </c>
      <c r="V119" s="141">
        <v>5441</v>
      </c>
      <c r="W119" s="337"/>
    </row>
    <row r="120" spans="19:23" ht="12.75">
      <c r="S120" s="140"/>
      <c r="T120" s="47" t="s">
        <v>826</v>
      </c>
      <c r="U120" s="47" t="s">
        <v>1367</v>
      </c>
      <c r="V120" s="141">
        <v>3023</v>
      </c>
      <c r="W120" s="337"/>
    </row>
    <row r="121" spans="19:23" ht="12.75">
      <c r="S121" s="140"/>
      <c r="T121" s="47" t="s">
        <v>827</v>
      </c>
      <c r="U121" s="47" t="s">
        <v>1368</v>
      </c>
      <c r="V121" s="141">
        <v>3023</v>
      </c>
      <c r="W121" s="337"/>
    </row>
    <row r="122" spans="19:23" ht="12.75">
      <c r="S122" s="140"/>
      <c r="T122" s="47" t="s">
        <v>828</v>
      </c>
      <c r="U122" s="47" t="s">
        <v>1369</v>
      </c>
      <c r="V122" s="141">
        <v>3023</v>
      </c>
      <c r="W122" s="337"/>
    </row>
    <row r="123" spans="19:23" ht="12.75">
      <c r="S123" s="140"/>
      <c r="T123" s="47" t="s">
        <v>831</v>
      </c>
      <c r="U123" s="47" t="s">
        <v>3394</v>
      </c>
      <c r="V123" s="141">
        <v>3023</v>
      </c>
      <c r="W123" s="139"/>
    </row>
    <row r="124" spans="19:23" ht="12.75">
      <c r="S124" s="140"/>
      <c r="T124" s="47" t="s">
        <v>829</v>
      </c>
      <c r="U124" s="47" t="s">
        <v>1370</v>
      </c>
      <c r="V124" s="141">
        <v>3023</v>
      </c>
      <c r="W124" s="337"/>
    </row>
    <row r="125" spans="19:23" ht="12.75">
      <c r="S125" s="140"/>
      <c r="T125" s="47" t="s">
        <v>824</v>
      </c>
      <c r="U125" s="47" t="s">
        <v>1365</v>
      </c>
      <c r="V125" s="141">
        <v>9143</v>
      </c>
      <c r="W125" s="337"/>
    </row>
    <row r="126" spans="19:23" ht="12.75">
      <c r="S126" s="140"/>
      <c r="T126" s="47" t="s">
        <v>825</v>
      </c>
      <c r="U126" s="47" t="s">
        <v>1366</v>
      </c>
      <c r="V126" s="141">
        <v>9143</v>
      </c>
      <c r="W126" s="337"/>
    </row>
    <row r="127" spans="19:23" ht="12.75">
      <c r="S127" s="140"/>
      <c r="T127" s="47" t="s">
        <v>822</v>
      </c>
      <c r="U127" s="47" t="s">
        <v>1362</v>
      </c>
      <c r="V127" s="141">
        <v>5441</v>
      </c>
      <c r="W127" s="337"/>
    </row>
    <row r="128" spans="19:23" ht="12.75">
      <c r="S128" s="140"/>
      <c r="T128" s="47" t="s">
        <v>2732</v>
      </c>
      <c r="U128" s="47" t="s">
        <v>4106</v>
      </c>
      <c r="V128" s="141">
        <v>17395</v>
      </c>
      <c r="W128" s="337"/>
    </row>
    <row r="129" spans="19:23" ht="12.75">
      <c r="S129" s="140"/>
      <c r="T129" s="47" t="s">
        <v>2731</v>
      </c>
      <c r="U129" s="47" t="s">
        <v>4105</v>
      </c>
      <c r="V129" s="141">
        <v>23025</v>
      </c>
      <c r="W129" s="337"/>
    </row>
    <row r="130" spans="19:23" ht="12.75">
      <c r="S130" s="140"/>
      <c r="T130" s="47" t="s">
        <v>2730</v>
      </c>
      <c r="U130" s="47" t="s">
        <v>4104</v>
      </c>
      <c r="V130" s="141">
        <v>30242</v>
      </c>
      <c r="W130" s="337"/>
    </row>
    <row r="131" spans="19:23" ht="12.75">
      <c r="S131" s="140"/>
      <c r="T131" s="47" t="s">
        <v>2729</v>
      </c>
      <c r="U131" s="47" t="s">
        <v>4103</v>
      </c>
      <c r="V131" s="141">
        <v>47234</v>
      </c>
      <c r="W131" s="337"/>
    </row>
    <row r="132" spans="19:23" ht="12.75">
      <c r="S132" s="140"/>
      <c r="T132" s="47" t="s">
        <v>2728</v>
      </c>
      <c r="U132" s="47" t="s">
        <v>4102</v>
      </c>
      <c r="V132" s="141">
        <v>54452</v>
      </c>
      <c r="W132" s="337"/>
    </row>
    <row r="133" spans="19:23" ht="12.75">
      <c r="S133" s="140"/>
      <c r="T133" s="47" t="s">
        <v>2727</v>
      </c>
      <c r="U133" s="47" t="s">
        <v>4101</v>
      </c>
      <c r="V133" s="141">
        <v>146150</v>
      </c>
      <c r="W133" s="337"/>
    </row>
    <row r="134" spans="19:23" ht="12.75">
      <c r="S134" s="140"/>
      <c r="T134" s="47" t="s">
        <v>2733</v>
      </c>
      <c r="U134" s="47" t="s">
        <v>4107</v>
      </c>
      <c r="V134" s="141">
        <v>7054</v>
      </c>
      <c r="W134" s="337"/>
    </row>
    <row r="135" spans="19:23" ht="12.75">
      <c r="S135" s="140"/>
      <c r="T135" s="47" t="s">
        <v>2734</v>
      </c>
      <c r="U135" s="47" t="s">
        <v>4108</v>
      </c>
      <c r="V135" s="141">
        <v>7054</v>
      </c>
      <c r="W135" s="337"/>
    </row>
    <row r="136" spans="19:23" ht="12.75">
      <c r="S136" s="140"/>
      <c r="T136" s="47" t="s">
        <v>2735</v>
      </c>
      <c r="U136" s="47" t="s">
        <v>4109</v>
      </c>
      <c r="V136" s="141">
        <v>7054</v>
      </c>
      <c r="W136" s="337"/>
    </row>
    <row r="137" spans="19:23" ht="12.75">
      <c r="S137" s="140"/>
      <c r="T137" s="47" t="s">
        <v>2736</v>
      </c>
      <c r="U137" s="47" t="s">
        <v>4110</v>
      </c>
      <c r="V137" s="141">
        <v>7054</v>
      </c>
      <c r="W137" s="337"/>
    </row>
    <row r="138" spans="19:23" ht="12.75">
      <c r="S138" s="140"/>
      <c r="T138" s="47" t="s">
        <v>2737</v>
      </c>
      <c r="U138" s="47" t="s">
        <v>4111</v>
      </c>
      <c r="V138" s="141">
        <v>7558</v>
      </c>
      <c r="W138" s="337"/>
    </row>
    <row r="139" spans="19:23" ht="12.75">
      <c r="S139" s="140"/>
      <c r="T139" s="47" t="s">
        <v>2738</v>
      </c>
      <c r="U139" s="47" t="s">
        <v>4112</v>
      </c>
      <c r="V139" s="141">
        <v>8943</v>
      </c>
      <c r="W139" s="337"/>
    </row>
    <row r="140" spans="19:23" ht="12.75">
      <c r="S140" s="140"/>
      <c r="T140" s="47" t="s">
        <v>2745</v>
      </c>
      <c r="U140" s="47" t="s">
        <v>1266</v>
      </c>
      <c r="V140" s="141">
        <v>8466</v>
      </c>
      <c r="W140" s="337"/>
    </row>
    <row r="141" spans="19:23" ht="12.75">
      <c r="S141" s="140"/>
      <c r="T141" s="47" t="s">
        <v>2746</v>
      </c>
      <c r="U141" s="47" t="s">
        <v>1267</v>
      </c>
      <c r="V141" s="141">
        <v>8466</v>
      </c>
      <c r="W141" s="337"/>
    </row>
    <row r="142" spans="19:23" ht="12.75">
      <c r="S142" s="140"/>
      <c r="T142" s="47" t="s">
        <v>2747</v>
      </c>
      <c r="U142" s="47" t="s">
        <v>1268</v>
      </c>
      <c r="V142" s="141">
        <v>9069</v>
      </c>
      <c r="W142" s="337"/>
    </row>
    <row r="143" spans="19:23" ht="12.75">
      <c r="S143" s="140"/>
      <c r="T143" s="47" t="s">
        <v>2748</v>
      </c>
      <c r="U143" s="47" t="s">
        <v>1269</v>
      </c>
      <c r="V143" s="141">
        <v>10732</v>
      </c>
      <c r="W143" s="337"/>
    </row>
    <row r="144" spans="19:23" ht="12.75">
      <c r="S144" s="140"/>
      <c r="T144" s="47" t="s">
        <v>2749</v>
      </c>
      <c r="U144" s="47" t="s">
        <v>1270</v>
      </c>
      <c r="V144" s="141">
        <v>10732</v>
      </c>
      <c r="W144" s="337"/>
    </row>
    <row r="145" spans="19:23" ht="12.75">
      <c r="S145" s="140"/>
      <c r="T145" s="47" t="s">
        <v>2750</v>
      </c>
      <c r="U145" s="47" t="s">
        <v>1271</v>
      </c>
      <c r="V145" s="141">
        <v>11809</v>
      </c>
      <c r="W145" s="337"/>
    </row>
    <row r="146" spans="19:23" ht="12.75">
      <c r="S146" s="140"/>
      <c r="T146" s="47" t="s">
        <v>352</v>
      </c>
      <c r="U146" s="47" t="s">
        <v>1278</v>
      </c>
      <c r="V146" s="141">
        <v>14107</v>
      </c>
      <c r="W146" s="337"/>
    </row>
    <row r="147" spans="19:23" ht="12.75">
      <c r="S147" s="140"/>
      <c r="T147" s="47" t="s">
        <v>353</v>
      </c>
      <c r="U147" s="47" t="s">
        <v>1279</v>
      </c>
      <c r="V147" s="141">
        <v>14107</v>
      </c>
      <c r="W147" s="337"/>
    </row>
    <row r="148" spans="19:23" ht="12.75">
      <c r="S148" s="140"/>
      <c r="T148" s="47" t="s">
        <v>354</v>
      </c>
      <c r="U148" s="47" t="s">
        <v>1280</v>
      </c>
      <c r="V148" s="141">
        <v>14107</v>
      </c>
      <c r="W148" s="337"/>
    </row>
    <row r="149" spans="19:23" ht="12.75">
      <c r="S149" s="140"/>
      <c r="T149" s="47" t="s">
        <v>358</v>
      </c>
      <c r="U149" s="47" t="s">
        <v>1284</v>
      </c>
      <c r="V149" s="141">
        <v>16928</v>
      </c>
      <c r="W149" s="337"/>
    </row>
    <row r="150" spans="19:23" ht="12.75">
      <c r="S150" s="140"/>
      <c r="T150" s="47" t="s">
        <v>359</v>
      </c>
      <c r="U150" s="47" t="s">
        <v>1285</v>
      </c>
      <c r="V150" s="141">
        <v>16928</v>
      </c>
      <c r="W150" s="337"/>
    </row>
    <row r="151" spans="19:23" ht="12.75">
      <c r="S151" s="140"/>
      <c r="T151" s="47" t="s">
        <v>360</v>
      </c>
      <c r="U151" s="47" t="s">
        <v>1286</v>
      </c>
      <c r="V151" s="141">
        <v>18138</v>
      </c>
      <c r="W151" s="337"/>
    </row>
    <row r="152" spans="19:23" ht="12.75">
      <c r="S152" s="140"/>
      <c r="T152" s="47" t="s">
        <v>361</v>
      </c>
      <c r="U152" s="47" t="s">
        <v>1287</v>
      </c>
      <c r="V152" s="141">
        <v>21463</v>
      </c>
      <c r="W152" s="337"/>
    </row>
    <row r="153" spans="19:23" ht="12.75">
      <c r="S153" s="140"/>
      <c r="T153" s="47" t="s">
        <v>2739</v>
      </c>
      <c r="U153" s="47" t="s">
        <v>4113</v>
      </c>
      <c r="V153" s="141">
        <v>9409</v>
      </c>
      <c r="W153" s="337"/>
    </row>
    <row r="154" spans="19:23" ht="12.75">
      <c r="S154" s="140"/>
      <c r="T154" s="47" t="s">
        <v>2740</v>
      </c>
      <c r="U154" s="47" t="s">
        <v>4114</v>
      </c>
      <c r="V154" s="141">
        <v>9409</v>
      </c>
      <c r="W154" s="337"/>
    </row>
    <row r="155" spans="19:23" ht="12.75">
      <c r="S155" s="140"/>
      <c r="T155" s="47" t="s">
        <v>2741</v>
      </c>
      <c r="U155" s="47" t="s">
        <v>1262</v>
      </c>
      <c r="V155" s="141">
        <v>9409</v>
      </c>
      <c r="W155" s="337"/>
    </row>
    <row r="156" spans="19:23" ht="12.75">
      <c r="S156" s="140"/>
      <c r="T156" s="47" t="s">
        <v>2742</v>
      </c>
      <c r="U156" s="47" t="s">
        <v>1263</v>
      </c>
      <c r="V156" s="141">
        <v>9409</v>
      </c>
      <c r="W156" s="337"/>
    </row>
    <row r="157" spans="19:23" ht="12.75">
      <c r="S157" s="140"/>
      <c r="T157" s="47" t="s">
        <v>2743</v>
      </c>
      <c r="U157" s="47" t="s">
        <v>1264</v>
      </c>
      <c r="V157" s="141">
        <v>10077</v>
      </c>
      <c r="W157" s="337"/>
    </row>
    <row r="158" spans="19:23" ht="12.75">
      <c r="S158" s="140"/>
      <c r="T158" s="47" t="s">
        <v>2744</v>
      </c>
      <c r="U158" s="47" t="s">
        <v>1265</v>
      </c>
      <c r="V158" s="141">
        <v>11929</v>
      </c>
      <c r="W158" s="337"/>
    </row>
    <row r="159" spans="19:23" ht="12.75">
      <c r="S159" s="140"/>
      <c r="T159" s="47" t="s">
        <v>2751</v>
      </c>
      <c r="U159" s="47" t="s">
        <v>1272</v>
      </c>
      <c r="V159" s="141">
        <v>11286</v>
      </c>
      <c r="W159" s="337"/>
    </row>
    <row r="160" spans="19:23" ht="12.75">
      <c r="S160" s="140"/>
      <c r="T160" s="47" t="s">
        <v>2752</v>
      </c>
      <c r="U160" s="47" t="s">
        <v>1273</v>
      </c>
      <c r="V160" s="141">
        <v>11286</v>
      </c>
      <c r="W160" s="337"/>
    </row>
    <row r="161" spans="19:23" ht="12.75">
      <c r="S161" s="140"/>
      <c r="T161" s="47" t="s">
        <v>2753</v>
      </c>
      <c r="U161" s="47" t="s">
        <v>1274</v>
      </c>
      <c r="V161" s="141">
        <v>12093</v>
      </c>
      <c r="W161" s="337"/>
    </row>
    <row r="162" spans="19:23" ht="12.75">
      <c r="S162" s="140"/>
      <c r="T162" s="47" t="s">
        <v>2754</v>
      </c>
      <c r="U162" s="47" t="s">
        <v>1275</v>
      </c>
      <c r="V162" s="141">
        <v>14308</v>
      </c>
      <c r="W162" s="337"/>
    </row>
    <row r="163" spans="19:23" ht="12.75">
      <c r="S163" s="140"/>
      <c r="T163" s="47" t="s">
        <v>2755</v>
      </c>
      <c r="U163" s="47" t="s">
        <v>1276</v>
      </c>
      <c r="V163" s="141">
        <v>14308</v>
      </c>
      <c r="W163" s="337"/>
    </row>
    <row r="164" spans="19:23" ht="12.75">
      <c r="S164" s="140"/>
      <c r="T164" s="47" t="s">
        <v>351</v>
      </c>
      <c r="U164" s="47" t="s">
        <v>1277</v>
      </c>
      <c r="V164" s="141">
        <v>15744</v>
      </c>
      <c r="W164" s="337"/>
    </row>
    <row r="165" spans="19:23" ht="12.75">
      <c r="S165" s="140"/>
      <c r="T165" s="47" t="s">
        <v>355</v>
      </c>
      <c r="U165" s="47" t="s">
        <v>1281</v>
      </c>
      <c r="V165" s="141">
        <v>18818</v>
      </c>
      <c r="W165" s="337"/>
    </row>
    <row r="166" spans="19:23" ht="12.75">
      <c r="S166" s="140"/>
      <c r="T166" s="47" t="s">
        <v>356</v>
      </c>
      <c r="U166" s="47" t="s">
        <v>1282</v>
      </c>
      <c r="V166" s="141">
        <v>18818</v>
      </c>
      <c r="W166" s="337"/>
    </row>
    <row r="167" spans="19:23" ht="12.75">
      <c r="S167" s="140"/>
      <c r="T167" s="47" t="s">
        <v>357</v>
      </c>
      <c r="U167" s="47" t="s">
        <v>1283</v>
      </c>
      <c r="V167" s="141">
        <v>18818</v>
      </c>
      <c r="W167" s="337"/>
    </row>
    <row r="168" spans="19:23" ht="12.75">
      <c r="S168" s="140"/>
      <c r="T168" s="47" t="s">
        <v>362</v>
      </c>
      <c r="U168" s="47" t="s">
        <v>1288</v>
      </c>
      <c r="V168" s="141">
        <v>22571</v>
      </c>
      <c r="W168" s="337"/>
    </row>
    <row r="169" spans="19:23" ht="12.75">
      <c r="S169" s="140"/>
      <c r="T169" s="47" t="s">
        <v>363</v>
      </c>
      <c r="U169" s="47" t="s">
        <v>1289</v>
      </c>
      <c r="V169" s="141">
        <v>22571</v>
      </c>
      <c r="W169" s="337"/>
    </row>
    <row r="170" spans="19:23" ht="12.75">
      <c r="S170" s="140"/>
      <c r="T170" s="47" t="s">
        <v>364</v>
      </c>
      <c r="U170" s="47" t="s">
        <v>1290</v>
      </c>
      <c r="V170" s="141">
        <v>24183</v>
      </c>
      <c r="W170" s="337"/>
    </row>
    <row r="171" spans="19:23" ht="12.75">
      <c r="S171" s="140"/>
      <c r="T171" s="47" t="s">
        <v>365</v>
      </c>
      <c r="U171" s="47" t="s">
        <v>1291</v>
      </c>
      <c r="V171" s="141">
        <v>28618</v>
      </c>
      <c r="W171" s="337"/>
    </row>
    <row r="172" spans="19:23" ht="12.75">
      <c r="S172" s="140"/>
      <c r="T172" s="47" t="s">
        <v>366</v>
      </c>
      <c r="U172" s="47" t="s">
        <v>1292</v>
      </c>
      <c r="V172" s="141">
        <v>3429</v>
      </c>
      <c r="W172" s="337"/>
    </row>
    <row r="173" spans="19:23" ht="12.75">
      <c r="S173" s="140"/>
      <c r="T173" s="47" t="s">
        <v>367</v>
      </c>
      <c r="U173" s="47" t="s">
        <v>1293</v>
      </c>
      <c r="V173" s="141">
        <v>3429</v>
      </c>
      <c r="W173" s="337"/>
    </row>
    <row r="174" spans="19:23" ht="12.75">
      <c r="S174" s="140"/>
      <c r="T174" s="47" t="s">
        <v>368</v>
      </c>
      <c r="U174" s="47" t="s">
        <v>1294</v>
      </c>
      <c r="V174" s="141">
        <v>9113</v>
      </c>
      <c r="W174" s="337"/>
    </row>
    <row r="175" spans="19:23" ht="12.75">
      <c r="S175" s="140"/>
      <c r="T175" s="47" t="s">
        <v>369</v>
      </c>
      <c r="U175" s="47" t="s">
        <v>1295</v>
      </c>
      <c r="V175" s="141">
        <v>14060</v>
      </c>
      <c r="W175" s="337"/>
    </row>
    <row r="176" spans="19:23" ht="12.75">
      <c r="S176" s="140"/>
      <c r="T176" s="47" t="s">
        <v>370</v>
      </c>
      <c r="U176" s="47" t="s">
        <v>1296</v>
      </c>
      <c r="V176" s="141">
        <v>18397</v>
      </c>
      <c r="W176" s="337"/>
    </row>
    <row r="177" spans="19:23" ht="12.75">
      <c r="S177" s="140"/>
      <c r="T177" s="47" t="s">
        <v>782</v>
      </c>
      <c r="U177" s="47" t="s">
        <v>1302</v>
      </c>
      <c r="V177" s="141">
        <v>6199</v>
      </c>
      <c r="W177" s="337"/>
    </row>
    <row r="178" spans="19:23" ht="12.75">
      <c r="S178" s="140"/>
      <c r="T178" s="47" t="s">
        <v>783</v>
      </c>
      <c r="U178" s="47" t="s">
        <v>1303</v>
      </c>
      <c r="V178" s="141">
        <v>7300</v>
      </c>
      <c r="W178" s="337"/>
    </row>
    <row r="179" spans="19:23" ht="12.75">
      <c r="S179" s="140"/>
      <c r="T179" s="47" t="s">
        <v>784</v>
      </c>
      <c r="U179" s="47" t="s">
        <v>1304</v>
      </c>
      <c r="V179" s="141">
        <v>11196</v>
      </c>
      <c r="W179" s="337"/>
    </row>
    <row r="180" spans="19:23" ht="12.75">
      <c r="S180" s="140"/>
      <c r="T180" s="47" t="s">
        <v>785</v>
      </c>
      <c r="U180" s="47" t="s">
        <v>1305</v>
      </c>
      <c r="V180" s="141">
        <v>16118</v>
      </c>
      <c r="W180" s="337"/>
    </row>
    <row r="181" spans="19:23" ht="12.75">
      <c r="S181" s="140"/>
      <c r="T181" s="47" t="s">
        <v>786</v>
      </c>
      <c r="U181" s="47" t="s">
        <v>1306</v>
      </c>
      <c r="V181" s="141">
        <v>20454</v>
      </c>
      <c r="W181" s="337"/>
    </row>
    <row r="182" spans="19:23" ht="12.75">
      <c r="S182" s="140"/>
      <c r="T182" s="47" t="s">
        <v>206</v>
      </c>
      <c r="U182" s="47" t="s">
        <v>207</v>
      </c>
      <c r="V182" s="141">
        <v>6083</v>
      </c>
      <c r="W182" s="139"/>
    </row>
    <row r="183" spans="19:23" ht="12.75">
      <c r="S183" s="140"/>
      <c r="T183" s="47" t="s">
        <v>208</v>
      </c>
      <c r="U183" s="47" t="s">
        <v>209</v>
      </c>
      <c r="V183" s="141">
        <v>9330</v>
      </c>
      <c r="W183" s="139"/>
    </row>
    <row r="184" spans="19:23" ht="12.75">
      <c r="S184" s="140"/>
      <c r="T184" s="47" t="s">
        <v>210</v>
      </c>
      <c r="U184" s="47" t="s">
        <v>211</v>
      </c>
      <c r="V184" s="141">
        <v>13431</v>
      </c>
      <c r="W184" s="139"/>
    </row>
    <row r="185" spans="19:23" ht="12.75">
      <c r="S185" s="140"/>
      <c r="T185" s="47" t="s">
        <v>212</v>
      </c>
      <c r="U185" s="47" t="s">
        <v>213</v>
      </c>
      <c r="V185" s="141">
        <v>17045</v>
      </c>
      <c r="W185" s="139"/>
    </row>
    <row r="186" spans="19:23" ht="12.75">
      <c r="S186" s="140"/>
      <c r="T186" s="47" t="s">
        <v>214</v>
      </c>
      <c r="U186" s="47" t="s">
        <v>215</v>
      </c>
      <c r="V186" s="141">
        <v>8124</v>
      </c>
      <c r="W186" s="139"/>
    </row>
    <row r="187" spans="19:23" ht="12.75">
      <c r="S187" s="140"/>
      <c r="T187" s="47" t="s">
        <v>371</v>
      </c>
      <c r="U187" s="47" t="s">
        <v>1297</v>
      </c>
      <c r="V187" s="141">
        <v>4555</v>
      </c>
      <c r="W187" s="337"/>
    </row>
    <row r="188" spans="19:23" ht="12.75">
      <c r="S188" s="140"/>
      <c r="T188" s="47" t="s">
        <v>216</v>
      </c>
      <c r="U188" s="47" t="s">
        <v>217</v>
      </c>
      <c r="V188" s="141">
        <v>12411</v>
      </c>
      <c r="W188" s="139"/>
    </row>
    <row r="189" spans="19:23" ht="12.75">
      <c r="S189" s="140"/>
      <c r="T189" s="47" t="s">
        <v>372</v>
      </c>
      <c r="U189" s="47" t="s">
        <v>1298</v>
      </c>
      <c r="V189" s="141">
        <v>4532</v>
      </c>
      <c r="W189" s="337"/>
    </row>
    <row r="190" spans="19:23" ht="12.75">
      <c r="S190" s="140"/>
      <c r="T190" s="47" t="s">
        <v>218</v>
      </c>
      <c r="U190" s="47" t="s">
        <v>219</v>
      </c>
      <c r="V190" s="141">
        <v>17820</v>
      </c>
      <c r="W190" s="139"/>
    </row>
    <row r="191" spans="19:23" ht="12.75">
      <c r="S191" s="140"/>
      <c r="T191" s="47" t="s">
        <v>373</v>
      </c>
      <c r="U191" s="47" t="s">
        <v>1299</v>
      </c>
      <c r="V191" s="141">
        <v>12150</v>
      </c>
      <c r="W191" s="337"/>
    </row>
    <row r="192" spans="19:23" ht="12.75">
      <c r="S192" s="140"/>
      <c r="T192" s="47" t="s">
        <v>220</v>
      </c>
      <c r="U192" s="47" t="s">
        <v>221</v>
      </c>
      <c r="V192" s="141">
        <v>21801</v>
      </c>
      <c r="W192" s="139"/>
    </row>
    <row r="193" spans="19:23" ht="12.75">
      <c r="S193" s="140"/>
      <c r="T193" s="47" t="s">
        <v>780</v>
      </c>
      <c r="U193" s="47" t="s">
        <v>1300</v>
      </c>
      <c r="V193" s="141">
        <v>18666</v>
      </c>
      <c r="W193" s="337"/>
    </row>
    <row r="194" spans="19:23" ht="12.75">
      <c r="S194" s="140"/>
      <c r="T194" s="47" t="s">
        <v>222</v>
      </c>
      <c r="U194" s="47" t="s">
        <v>223</v>
      </c>
      <c r="V194" s="141">
        <v>20367</v>
      </c>
      <c r="W194" s="139"/>
    </row>
    <row r="195" spans="19:23" ht="12.75">
      <c r="S195" s="140"/>
      <c r="T195" s="47" t="s">
        <v>781</v>
      </c>
      <c r="U195" s="47" t="s">
        <v>1301</v>
      </c>
      <c r="V195" s="141">
        <v>23420</v>
      </c>
      <c r="W195" s="337"/>
    </row>
    <row r="196" spans="19:23" ht="12.75">
      <c r="S196" s="140"/>
      <c r="T196" s="47" t="s">
        <v>224</v>
      </c>
      <c r="U196" s="47" t="s">
        <v>225</v>
      </c>
      <c r="V196" s="141">
        <v>24439</v>
      </c>
      <c r="W196" s="139"/>
    </row>
    <row r="197" spans="19:23" ht="12.75">
      <c r="S197" s="140"/>
      <c r="T197" s="47" t="s">
        <v>226</v>
      </c>
      <c r="U197" s="47" t="s">
        <v>227</v>
      </c>
      <c r="V197" s="141">
        <v>21419</v>
      </c>
      <c r="W197" s="139"/>
    </row>
    <row r="198" spans="19:23" ht="12.75">
      <c r="S198" s="140"/>
      <c r="T198" s="47" t="s">
        <v>228</v>
      </c>
      <c r="U198" s="47" t="s">
        <v>229</v>
      </c>
      <c r="V198" s="141">
        <v>29898</v>
      </c>
      <c r="W198" s="139"/>
    </row>
    <row r="199" spans="19:23" ht="12.75">
      <c r="S199" s="140"/>
      <c r="T199" s="47" t="s">
        <v>230</v>
      </c>
      <c r="U199" s="47" t="s">
        <v>231</v>
      </c>
      <c r="V199" s="141">
        <v>26764</v>
      </c>
      <c r="W199" s="139"/>
    </row>
    <row r="200" spans="19:23" ht="12.75">
      <c r="S200" s="140"/>
      <c r="T200" s="47" t="s">
        <v>232</v>
      </c>
      <c r="U200" s="47" t="s">
        <v>233</v>
      </c>
      <c r="V200" s="141">
        <v>24916</v>
      </c>
      <c r="W200" s="139"/>
    </row>
    <row r="201" spans="19:23" ht="12.75">
      <c r="S201" s="140"/>
      <c r="T201" s="47" t="s">
        <v>787</v>
      </c>
      <c r="U201" s="47" t="s">
        <v>1307</v>
      </c>
      <c r="V201" s="141">
        <v>8328</v>
      </c>
      <c r="W201" s="337"/>
    </row>
    <row r="202" spans="19:23" ht="12.75">
      <c r="S202" s="140"/>
      <c r="T202" s="47" t="s">
        <v>788</v>
      </c>
      <c r="U202" s="47" t="s">
        <v>1308</v>
      </c>
      <c r="V202" s="141">
        <v>9750</v>
      </c>
      <c r="W202" s="337"/>
    </row>
    <row r="203" spans="19:23" ht="12.75">
      <c r="S203" s="140"/>
      <c r="T203" s="47" t="s">
        <v>789</v>
      </c>
      <c r="U203" s="47" t="s">
        <v>1309</v>
      </c>
      <c r="V203" s="141">
        <v>14894</v>
      </c>
      <c r="W203" s="337"/>
    </row>
    <row r="204" spans="19:23" ht="12.75">
      <c r="S204" s="140"/>
      <c r="T204" s="47" t="s">
        <v>790</v>
      </c>
      <c r="U204" s="47" t="s">
        <v>1310</v>
      </c>
      <c r="V204" s="141">
        <v>21384</v>
      </c>
      <c r="W204" s="337"/>
    </row>
    <row r="205" spans="19:23" ht="12.75">
      <c r="S205" s="140"/>
      <c r="T205" s="47" t="s">
        <v>791</v>
      </c>
      <c r="U205" s="47" t="s">
        <v>1311</v>
      </c>
      <c r="V205" s="141">
        <v>26161</v>
      </c>
      <c r="W205" s="337"/>
    </row>
    <row r="206" spans="19:23" ht="12.75">
      <c r="S206" s="140"/>
      <c r="T206" s="47" t="s">
        <v>813</v>
      </c>
      <c r="U206" s="47" t="s">
        <v>3418</v>
      </c>
      <c r="V206" s="141">
        <v>3202</v>
      </c>
      <c r="W206" s="337"/>
    </row>
    <row r="207" spans="19:23" ht="12.75">
      <c r="S207" s="140"/>
      <c r="T207" s="47" t="s">
        <v>823</v>
      </c>
      <c r="U207" s="47" t="s">
        <v>1363</v>
      </c>
      <c r="V207" s="141">
        <v>9637</v>
      </c>
      <c r="W207" s="337"/>
    </row>
    <row r="208" spans="19:23" ht="12.75">
      <c r="S208" s="140"/>
      <c r="T208" s="47" t="s">
        <v>3927</v>
      </c>
      <c r="U208" s="47" t="s">
        <v>234</v>
      </c>
      <c r="V208" s="141">
        <v>50255</v>
      </c>
      <c r="W208" s="139"/>
    </row>
    <row r="209" spans="19:23" ht="12.75">
      <c r="S209" s="140"/>
      <c r="T209" s="47" t="s">
        <v>3928</v>
      </c>
      <c r="U209" s="47" t="s">
        <v>235</v>
      </c>
      <c r="V209" s="141">
        <v>53539</v>
      </c>
      <c r="W209" s="139"/>
    </row>
    <row r="210" spans="19:23" ht="12.75">
      <c r="S210" s="140"/>
      <c r="T210" s="47" t="s">
        <v>3929</v>
      </c>
      <c r="U210" s="47" t="s">
        <v>236</v>
      </c>
      <c r="V210" s="141">
        <v>50255</v>
      </c>
      <c r="W210" s="139"/>
    </row>
    <row r="211" spans="19:23" ht="12.75">
      <c r="S211" s="140"/>
      <c r="T211" s="47" t="s">
        <v>3930</v>
      </c>
      <c r="U211" s="47" t="s">
        <v>237</v>
      </c>
      <c r="V211" s="141">
        <v>127893</v>
      </c>
      <c r="W211" s="139"/>
    </row>
    <row r="212" spans="19:23" ht="12.75">
      <c r="S212" s="140"/>
      <c r="T212" s="47" t="s">
        <v>3931</v>
      </c>
      <c r="U212" s="47" t="s">
        <v>238</v>
      </c>
      <c r="V212" s="141">
        <v>57657</v>
      </c>
      <c r="W212" s="139"/>
    </row>
    <row r="213" spans="19:23" ht="12.75">
      <c r="S213" s="140"/>
      <c r="T213" s="47" t="s">
        <v>242</v>
      </c>
      <c r="U213" s="47" t="s">
        <v>243</v>
      </c>
      <c r="V213" s="141">
        <v>11599</v>
      </c>
      <c r="W213" s="139"/>
    </row>
    <row r="214" spans="19:23" ht="12.75">
      <c r="S214" s="140"/>
      <c r="T214" s="47" t="s">
        <v>244</v>
      </c>
      <c r="U214" s="47" t="s">
        <v>245</v>
      </c>
      <c r="V214" s="141">
        <v>0</v>
      </c>
      <c r="W214" s="139"/>
    </row>
    <row r="215" spans="19:23" ht="12.75">
      <c r="S215" s="140"/>
      <c r="T215" s="47" t="s">
        <v>246</v>
      </c>
      <c r="U215" s="47" t="s">
        <v>247</v>
      </c>
      <c r="V215" s="141">
        <v>0</v>
      </c>
      <c r="W215" s="139"/>
    </row>
    <row r="216" spans="19:23" ht="12.75">
      <c r="S216" s="140"/>
      <c r="T216" s="47" t="s">
        <v>248</v>
      </c>
      <c r="U216" s="47" t="s">
        <v>249</v>
      </c>
      <c r="V216" s="141">
        <v>0</v>
      </c>
      <c r="W216" s="139"/>
    </row>
    <row r="217" spans="19:23" ht="12.75">
      <c r="S217" s="140"/>
      <c r="T217" s="47" t="s">
        <v>250</v>
      </c>
      <c r="U217" s="47" t="s">
        <v>251</v>
      </c>
      <c r="V217" s="141">
        <v>0</v>
      </c>
      <c r="W217" s="139"/>
    </row>
    <row r="218" spans="19:23" ht="12.75">
      <c r="S218" s="140"/>
      <c r="T218" s="47" t="s">
        <v>252</v>
      </c>
      <c r="U218" s="47" t="s">
        <v>253</v>
      </c>
      <c r="V218" s="141">
        <v>0</v>
      </c>
      <c r="W218" s="139"/>
    </row>
    <row r="219" spans="19:23" ht="12.75">
      <c r="S219" s="140"/>
      <c r="T219" s="47" t="s">
        <v>254</v>
      </c>
      <c r="U219" s="47" t="s">
        <v>255</v>
      </c>
      <c r="V219" s="141">
        <v>0</v>
      </c>
      <c r="W219" s="139"/>
    </row>
    <row r="220" spans="19:23" ht="12.75">
      <c r="S220" s="140"/>
      <c r="T220" s="47" t="s">
        <v>256</v>
      </c>
      <c r="U220" s="47" t="s">
        <v>257</v>
      </c>
      <c r="V220" s="141">
        <v>0</v>
      </c>
      <c r="W220" s="139"/>
    </row>
    <row r="221" spans="19:23" ht="12.75">
      <c r="S221" s="140"/>
      <c r="T221" s="47" t="s">
        <v>258</v>
      </c>
      <c r="U221" s="47" t="s">
        <v>259</v>
      </c>
      <c r="V221" s="141">
        <v>0</v>
      </c>
      <c r="W221" s="139"/>
    </row>
    <row r="222" spans="19:23" ht="12.75">
      <c r="S222" s="140"/>
      <c r="T222" s="47" t="s">
        <v>260</v>
      </c>
      <c r="U222" s="47" t="s">
        <v>261</v>
      </c>
      <c r="V222" s="141">
        <v>0</v>
      </c>
      <c r="W222" s="139"/>
    </row>
    <row r="223" spans="19:23" ht="12.75">
      <c r="S223" s="140"/>
      <c r="T223" s="47" t="s">
        <v>262</v>
      </c>
      <c r="U223" s="47" t="s">
        <v>263</v>
      </c>
      <c r="V223" s="141">
        <v>0</v>
      </c>
      <c r="W223" s="139"/>
    </row>
    <row r="224" spans="19:23" ht="12.75">
      <c r="S224" s="140"/>
      <c r="T224" s="47" t="s">
        <v>264</v>
      </c>
      <c r="U224" s="47" t="s">
        <v>265</v>
      </c>
      <c r="V224" s="141">
        <v>0</v>
      </c>
      <c r="W224" s="139"/>
    </row>
    <row r="225" spans="19:23" ht="12.75">
      <c r="S225" s="140"/>
      <c r="T225" s="47" t="s">
        <v>266</v>
      </c>
      <c r="U225" s="47" t="s">
        <v>267</v>
      </c>
      <c r="V225" s="141">
        <v>0</v>
      </c>
      <c r="W225" s="139"/>
    </row>
    <row r="226" spans="19:23" ht="12.75">
      <c r="S226" s="140"/>
      <c r="T226" s="47" t="s">
        <v>268</v>
      </c>
      <c r="U226" s="47" t="s">
        <v>269</v>
      </c>
      <c r="V226" s="141">
        <v>0</v>
      </c>
      <c r="W226" s="139"/>
    </row>
    <row r="227" spans="19:23" ht="12.75">
      <c r="S227" s="140"/>
      <c r="T227" s="47" t="s">
        <v>270</v>
      </c>
      <c r="U227" s="47" t="s">
        <v>271</v>
      </c>
      <c r="V227" s="141">
        <v>0</v>
      </c>
      <c r="W227" s="139"/>
    </row>
    <row r="228" spans="19:23" ht="12.75">
      <c r="S228" s="140"/>
      <c r="T228" s="47" t="s">
        <v>272</v>
      </c>
      <c r="U228" s="47" t="s">
        <v>273</v>
      </c>
      <c r="V228" s="141">
        <v>0</v>
      </c>
      <c r="W228" s="139"/>
    </row>
    <row r="229" spans="19:23" ht="12.75">
      <c r="S229" s="140"/>
      <c r="T229" s="47" t="s">
        <v>274</v>
      </c>
      <c r="U229" s="47" t="s">
        <v>275</v>
      </c>
      <c r="V229" s="141">
        <v>0</v>
      </c>
      <c r="W229" s="139"/>
    </row>
    <row r="230" spans="19:23" ht="12.75">
      <c r="S230" s="140"/>
      <c r="T230" s="47" t="s">
        <v>276</v>
      </c>
      <c r="U230" s="47" t="s">
        <v>277</v>
      </c>
      <c r="V230" s="141">
        <v>0</v>
      </c>
      <c r="W230" s="139"/>
    </row>
    <row r="231" spans="19:23" ht="12.75">
      <c r="S231" s="140"/>
      <c r="T231" s="47" t="s">
        <v>278</v>
      </c>
      <c r="U231" s="47" t="s">
        <v>279</v>
      </c>
      <c r="V231" s="141">
        <v>0</v>
      </c>
      <c r="W231" s="139"/>
    </row>
    <row r="232" spans="19:23" ht="12.75">
      <c r="S232" s="140"/>
      <c r="T232" s="47" t="s">
        <v>280</v>
      </c>
      <c r="U232" s="47" t="s">
        <v>281</v>
      </c>
      <c r="V232" s="141">
        <v>0</v>
      </c>
      <c r="W232" s="139"/>
    </row>
    <row r="233" spans="19:23" ht="12.75">
      <c r="S233" s="140"/>
      <c r="T233" s="47" t="s">
        <v>282</v>
      </c>
      <c r="U233" s="47" t="s">
        <v>283</v>
      </c>
      <c r="V233" s="141">
        <v>0</v>
      </c>
      <c r="W233" s="139"/>
    </row>
    <row r="234" spans="19:23" ht="12.75">
      <c r="S234" s="140"/>
      <c r="T234" s="47" t="s">
        <v>284</v>
      </c>
      <c r="U234" s="47" t="s">
        <v>285</v>
      </c>
      <c r="V234" s="141">
        <v>0</v>
      </c>
      <c r="W234" s="139"/>
    </row>
    <row r="235" spans="19:23" ht="12.75">
      <c r="S235" s="140"/>
      <c r="T235" s="47" t="s">
        <v>833</v>
      </c>
      <c r="U235" s="47" t="s">
        <v>2408</v>
      </c>
      <c r="V235" s="141">
        <v>1488</v>
      </c>
      <c r="W235" s="139"/>
    </row>
    <row r="236" spans="19:23" ht="12.75">
      <c r="S236" s="140"/>
      <c r="T236" s="47" t="s">
        <v>836</v>
      </c>
      <c r="U236" s="47" t="s">
        <v>239</v>
      </c>
      <c r="V236" s="141">
        <v>102834</v>
      </c>
      <c r="W236" s="139"/>
    </row>
    <row r="237" spans="19:23" ht="12.75">
      <c r="S237" s="140"/>
      <c r="T237" s="47" t="s">
        <v>240</v>
      </c>
      <c r="U237" s="47" t="s">
        <v>241</v>
      </c>
      <c r="V237" s="141">
        <v>19195</v>
      </c>
      <c r="W237" s="139"/>
    </row>
    <row r="238" spans="19:23" ht="12.75">
      <c r="S238" s="140"/>
      <c r="T238" s="47" t="s">
        <v>792</v>
      </c>
      <c r="U238" s="47" t="s">
        <v>1312</v>
      </c>
      <c r="V238" s="141" t="e">
        <v>#N/A</v>
      </c>
      <c r="W238" s="337"/>
    </row>
    <row r="239" spans="19:23" ht="12.75">
      <c r="S239" s="140"/>
      <c r="T239" s="47" t="s">
        <v>286</v>
      </c>
      <c r="U239" s="47" t="s">
        <v>287</v>
      </c>
      <c r="V239" s="141">
        <v>0</v>
      </c>
      <c r="W239" s="139"/>
    </row>
    <row r="240" spans="19:23" ht="12.75">
      <c r="S240" s="140"/>
      <c r="T240" s="47" t="s">
        <v>288</v>
      </c>
      <c r="U240" s="47" t="s">
        <v>289</v>
      </c>
      <c r="V240" s="141">
        <v>0</v>
      </c>
      <c r="W240" s="139"/>
    </row>
    <row r="241" spans="19:23" ht="12.75">
      <c r="S241" s="140"/>
      <c r="T241" s="47" t="s">
        <v>290</v>
      </c>
      <c r="U241" s="47" t="s">
        <v>291</v>
      </c>
      <c r="V241" s="141">
        <v>0</v>
      </c>
      <c r="W241" s="139"/>
    </row>
    <row r="242" spans="19:23" ht="12.75">
      <c r="S242" s="140"/>
      <c r="T242" s="47" t="s">
        <v>292</v>
      </c>
      <c r="U242" s="47" t="s">
        <v>293</v>
      </c>
      <c r="V242" s="141">
        <v>0</v>
      </c>
      <c r="W242" s="139"/>
    </row>
    <row r="243" spans="19:23" ht="12.75">
      <c r="S243" s="140"/>
      <c r="T243" s="47" t="s">
        <v>294</v>
      </c>
      <c r="U243" s="47" t="s">
        <v>295</v>
      </c>
      <c r="V243" s="141">
        <v>0</v>
      </c>
      <c r="W243" s="139"/>
    </row>
    <row r="244" spans="19:23" ht="12.75">
      <c r="S244" s="140"/>
      <c r="T244" s="47" t="s">
        <v>296</v>
      </c>
      <c r="U244" s="47" t="s">
        <v>297</v>
      </c>
      <c r="V244" s="141">
        <v>0</v>
      </c>
      <c r="W244" s="139"/>
    </row>
    <row r="245" spans="19:23" ht="12.75">
      <c r="S245" s="140"/>
      <c r="T245" s="47" t="s">
        <v>298</v>
      </c>
      <c r="U245" s="47" t="s">
        <v>299</v>
      </c>
      <c r="V245" s="141">
        <v>0</v>
      </c>
      <c r="W245" s="139"/>
    </row>
    <row r="246" spans="19:23" ht="12.75">
      <c r="S246" s="140"/>
      <c r="T246" s="47" t="s">
        <v>300</v>
      </c>
      <c r="U246" s="47" t="s">
        <v>301</v>
      </c>
      <c r="V246" s="141">
        <v>0</v>
      </c>
      <c r="W246" s="139"/>
    </row>
    <row r="247" spans="19:23" ht="12.75">
      <c r="S247" s="140"/>
      <c r="T247" s="47" t="s">
        <v>302</v>
      </c>
      <c r="U247" s="47" t="s">
        <v>303</v>
      </c>
      <c r="V247" s="141">
        <v>0</v>
      </c>
      <c r="W247" s="139"/>
    </row>
    <row r="248" spans="19:23" ht="12.75">
      <c r="S248" s="140"/>
      <c r="T248" s="47" t="s">
        <v>304</v>
      </c>
      <c r="U248" s="47" t="s">
        <v>305</v>
      </c>
      <c r="V248" s="141">
        <v>0</v>
      </c>
      <c r="W248" s="139"/>
    </row>
    <row r="249" spans="19:23" ht="12.75">
      <c r="S249" s="140"/>
      <c r="T249" s="47" t="s">
        <v>306</v>
      </c>
      <c r="U249" s="47" t="s">
        <v>307</v>
      </c>
      <c r="V249" s="141">
        <v>0</v>
      </c>
      <c r="W249" s="139"/>
    </row>
    <row r="250" spans="19:23" ht="12.75">
      <c r="S250" s="140"/>
      <c r="T250" s="47" t="s">
        <v>308</v>
      </c>
      <c r="U250" s="47" t="s">
        <v>309</v>
      </c>
      <c r="V250" s="141">
        <v>0</v>
      </c>
      <c r="W250" s="139"/>
    </row>
    <row r="251" spans="19:23" ht="12.75">
      <c r="S251" s="140"/>
      <c r="T251" s="47" t="s">
        <v>310</v>
      </c>
      <c r="U251" s="47" t="s">
        <v>311</v>
      </c>
      <c r="V251" s="141">
        <v>0</v>
      </c>
      <c r="W251" s="139"/>
    </row>
    <row r="252" spans="19:23" ht="12.75">
      <c r="S252" s="140"/>
      <c r="T252" s="47" t="s">
        <v>312</v>
      </c>
      <c r="U252" s="47" t="s">
        <v>313</v>
      </c>
      <c r="V252" s="141">
        <v>0</v>
      </c>
      <c r="W252" s="139"/>
    </row>
    <row r="253" spans="19:23" ht="12.75">
      <c r="S253" s="140"/>
      <c r="T253" s="47" t="s">
        <v>314</v>
      </c>
      <c r="U253" s="47" t="s">
        <v>315</v>
      </c>
      <c r="V253" s="141">
        <v>0</v>
      </c>
      <c r="W253" s="139"/>
    </row>
    <row r="254" spans="19:23" ht="12.75">
      <c r="S254" s="140"/>
      <c r="T254" s="47" t="s">
        <v>316</v>
      </c>
      <c r="U254" s="47" t="s">
        <v>317</v>
      </c>
      <c r="V254" s="141">
        <v>0</v>
      </c>
      <c r="W254" s="139"/>
    </row>
    <row r="255" spans="19:23" ht="12.75">
      <c r="S255" s="140"/>
      <c r="T255" s="47" t="s">
        <v>318</v>
      </c>
      <c r="U255" s="47" t="s">
        <v>319</v>
      </c>
      <c r="V255" s="141">
        <v>0</v>
      </c>
      <c r="W255" s="139"/>
    </row>
    <row r="256" spans="19:23" ht="12.75">
      <c r="S256" s="140"/>
      <c r="T256" s="47" t="s">
        <v>320</v>
      </c>
      <c r="U256" s="47" t="s">
        <v>3504</v>
      </c>
      <c r="V256" s="141">
        <v>0</v>
      </c>
      <c r="W256" s="139"/>
    </row>
    <row r="257" spans="19:23" ht="12.75">
      <c r="S257" s="140"/>
      <c r="T257" s="47" t="s">
        <v>3505</v>
      </c>
      <c r="U257" s="47" t="s">
        <v>3506</v>
      </c>
      <c r="V257" s="141">
        <v>0</v>
      </c>
      <c r="W257" s="139"/>
    </row>
    <row r="258" spans="19:23" ht="12.75">
      <c r="S258" s="140"/>
      <c r="T258" s="47" t="s">
        <v>3507</v>
      </c>
      <c r="U258" s="47" t="s">
        <v>3508</v>
      </c>
      <c r="V258" s="141">
        <v>316</v>
      </c>
      <c r="W258" s="139"/>
    </row>
    <row r="259" spans="19:23" ht="12.75">
      <c r="S259" s="140"/>
      <c r="T259" s="47" t="s">
        <v>3509</v>
      </c>
      <c r="U259" s="47" t="s">
        <v>3510</v>
      </c>
      <c r="V259" s="141">
        <v>3771</v>
      </c>
      <c r="W259" s="139"/>
    </row>
    <row r="260" spans="19:23" ht="12.75">
      <c r="S260" s="140"/>
      <c r="T260" s="47" t="s">
        <v>198</v>
      </c>
      <c r="U260" s="47" t="s">
        <v>199</v>
      </c>
      <c r="V260" s="141">
        <v>12854</v>
      </c>
      <c r="W260" s="139"/>
    </row>
    <row r="261" spans="19:23" ht="12.75">
      <c r="S261" s="140"/>
      <c r="T261" s="47" t="s">
        <v>200</v>
      </c>
      <c r="U261" s="47" t="s">
        <v>201</v>
      </c>
      <c r="V261" s="141">
        <v>12854</v>
      </c>
      <c r="W261" s="139"/>
    </row>
    <row r="262" spans="19:23" ht="12.75">
      <c r="S262" s="140"/>
      <c r="T262" s="47" t="s">
        <v>202</v>
      </c>
      <c r="U262" s="47" t="s">
        <v>203</v>
      </c>
      <c r="V262" s="141">
        <v>12854</v>
      </c>
      <c r="W262" s="139"/>
    </row>
    <row r="263" spans="19:23" ht="12.75">
      <c r="S263" s="140"/>
      <c r="T263" s="47" t="s">
        <v>204</v>
      </c>
      <c r="U263" s="47" t="s">
        <v>205</v>
      </c>
      <c r="V263" s="141">
        <v>12854</v>
      </c>
      <c r="W263" s="139"/>
    </row>
    <row r="264" spans="19:23" ht="12.75">
      <c r="S264" s="140"/>
      <c r="T264" s="47" t="s">
        <v>3511</v>
      </c>
      <c r="U264" s="47" t="s">
        <v>3512</v>
      </c>
      <c r="V264" s="141">
        <v>77254</v>
      </c>
      <c r="W264" s="139"/>
    </row>
    <row r="265" spans="19:23" ht="12.75">
      <c r="S265" s="140"/>
      <c r="T265" s="47" t="s">
        <v>4316</v>
      </c>
      <c r="U265" s="47" t="s">
        <v>5027</v>
      </c>
      <c r="V265" s="141">
        <v>66594</v>
      </c>
      <c r="W265" s="337"/>
    </row>
    <row r="266" spans="19:23" ht="12.75">
      <c r="S266" s="140"/>
      <c r="T266" s="47" t="s">
        <v>4322</v>
      </c>
      <c r="U266" s="47" t="s">
        <v>3548</v>
      </c>
      <c r="V266" s="141">
        <v>72225</v>
      </c>
      <c r="W266" s="337"/>
    </row>
    <row r="267" spans="19:23" ht="12.75">
      <c r="S267" s="140"/>
      <c r="T267" s="47" t="s">
        <v>4319</v>
      </c>
      <c r="U267" s="47" t="s">
        <v>2770</v>
      </c>
      <c r="V267" s="141">
        <v>79441</v>
      </c>
      <c r="W267" s="337"/>
    </row>
    <row r="268" spans="19:23" ht="12.75">
      <c r="S268" s="140"/>
      <c r="T268" s="47" t="s">
        <v>3615</v>
      </c>
      <c r="U268" s="47" t="s">
        <v>3554</v>
      </c>
      <c r="V268" s="141">
        <v>96435</v>
      </c>
      <c r="W268" s="337"/>
    </row>
    <row r="269" spans="19:23" ht="12.75">
      <c r="S269" s="140"/>
      <c r="T269" s="47" t="s">
        <v>3612</v>
      </c>
      <c r="U269" s="47" t="s">
        <v>3551</v>
      </c>
      <c r="V269" s="141">
        <v>103650</v>
      </c>
      <c r="W269" s="337"/>
    </row>
    <row r="270" spans="19:23" ht="12.75">
      <c r="S270" s="140"/>
      <c r="T270" s="47" t="s">
        <v>849</v>
      </c>
      <c r="U270" s="47" t="s">
        <v>850</v>
      </c>
      <c r="V270" s="141">
        <v>193630</v>
      </c>
      <c r="W270" s="139"/>
    </row>
    <row r="271" spans="19:23" ht="12.75">
      <c r="S271" s="140"/>
      <c r="T271" s="47" t="s">
        <v>853</v>
      </c>
      <c r="U271" s="47" t="s">
        <v>854</v>
      </c>
      <c r="V271" s="141">
        <v>73672</v>
      </c>
      <c r="W271" s="139"/>
    </row>
    <row r="272" spans="19:23" ht="12.75">
      <c r="S272" s="140"/>
      <c r="T272" s="47" t="s">
        <v>856</v>
      </c>
      <c r="U272" s="47" t="s">
        <v>857</v>
      </c>
      <c r="V272" s="141">
        <v>79303</v>
      </c>
      <c r="W272" s="139"/>
    </row>
    <row r="273" spans="19:23" ht="12.75">
      <c r="S273" s="140"/>
      <c r="T273" s="47" t="s">
        <v>858</v>
      </c>
      <c r="U273" s="47" t="s">
        <v>859</v>
      </c>
      <c r="V273" s="141">
        <v>86520</v>
      </c>
      <c r="W273" s="139"/>
    </row>
    <row r="274" spans="19:23" ht="12.75">
      <c r="S274" s="140"/>
      <c r="T274" s="47" t="s">
        <v>860</v>
      </c>
      <c r="U274" s="47" t="s">
        <v>861</v>
      </c>
      <c r="V274" s="141">
        <v>103512</v>
      </c>
      <c r="W274" s="139"/>
    </row>
    <row r="275" spans="19:23" ht="12.75">
      <c r="S275" s="140"/>
      <c r="T275" s="47" t="s">
        <v>862</v>
      </c>
      <c r="U275" s="47" t="s">
        <v>863</v>
      </c>
      <c r="V275" s="141">
        <v>110729</v>
      </c>
      <c r="W275" s="139"/>
    </row>
    <row r="276" spans="19:23" ht="12.75">
      <c r="S276" s="140"/>
      <c r="T276" s="47" t="s">
        <v>864</v>
      </c>
      <c r="U276" s="47" t="s">
        <v>865</v>
      </c>
      <c r="V276" s="141">
        <v>200708</v>
      </c>
      <c r="W276" s="139"/>
    </row>
    <row r="277" spans="19:23" ht="12.75">
      <c r="S277" s="140"/>
      <c r="T277" s="47" t="s">
        <v>4317</v>
      </c>
      <c r="U277" s="47" t="s">
        <v>2768</v>
      </c>
      <c r="V277" s="141">
        <v>72310</v>
      </c>
      <c r="W277" s="337"/>
    </row>
    <row r="278" spans="19:23" ht="12.75">
      <c r="S278" s="140"/>
      <c r="T278" s="47" t="s">
        <v>3610</v>
      </c>
      <c r="U278" s="47" t="s">
        <v>3549</v>
      </c>
      <c r="V278" s="141">
        <v>77939</v>
      </c>
      <c r="W278" s="337"/>
    </row>
    <row r="279" spans="19:23" ht="12.75">
      <c r="S279" s="140"/>
      <c r="T279" s="47" t="s">
        <v>4320</v>
      </c>
      <c r="U279" s="47" t="s">
        <v>3546</v>
      </c>
      <c r="V279" s="141">
        <v>85157</v>
      </c>
      <c r="W279" s="337"/>
    </row>
    <row r="280" spans="19:23" ht="12.75">
      <c r="S280" s="140"/>
      <c r="T280" s="47" t="s">
        <v>3616</v>
      </c>
      <c r="U280" s="47" t="s">
        <v>3555</v>
      </c>
      <c r="V280" s="141">
        <v>102149</v>
      </c>
      <c r="W280" s="337"/>
    </row>
    <row r="281" spans="19:23" ht="12.75">
      <c r="S281" s="140"/>
      <c r="T281" s="47" t="s">
        <v>3613</v>
      </c>
      <c r="U281" s="47" t="s">
        <v>3552</v>
      </c>
      <c r="V281" s="141">
        <v>109366</v>
      </c>
      <c r="W281" s="337"/>
    </row>
    <row r="282" spans="19:23" ht="12.75">
      <c r="S282" s="140"/>
      <c r="T282" s="47" t="s">
        <v>2376</v>
      </c>
      <c r="U282" s="47" t="s">
        <v>5025</v>
      </c>
      <c r="V282" s="141">
        <v>76923</v>
      </c>
      <c r="W282" s="337"/>
    </row>
    <row r="283" spans="19:23" ht="12.75">
      <c r="S283" s="140"/>
      <c r="T283" s="47" t="s">
        <v>4321</v>
      </c>
      <c r="U283" s="47" t="s">
        <v>3547</v>
      </c>
      <c r="V283" s="141">
        <v>82554</v>
      </c>
      <c r="W283" s="337"/>
    </row>
    <row r="284" spans="19:23" ht="12.75">
      <c r="S284" s="140"/>
      <c r="T284" s="47" t="s">
        <v>4318</v>
      </c>
      <c r="U284" s="47" t="s">
        <v>2769</v>
      </c>
      <c r="V284" s="141">
        <v>89770</v>
      </c>
      <c r="W284" s="337"/>
    </row>
    <row r="285" spans="19:23" ht="12.75">
      <c r="S285" s="140"/>
      <c r="T285" s="47" t="s">
        <v>3614</v>
      </c>
      <c r="U285" s="47" t="s">
        <v>3553</v>
      </c>
      <c r="V285" s="141">
        <v>106762</v>
      </c>
      <c r="W285" s="337"/>
    </row>
    <row r="286" spans="19:23" ht="12.75">
      <c r="S286" s="140"/>
      <c r="T286" s="47" t="s">
        <v>3611</v>
      </c>
      <c r="U286" s="47" t="s">
        <v>3550</v>
      </c>
      <c r="V286" s="141">
        <v>113980</v>
      </c>
      <c r="W286" s="337"/>
    </row>
    <row r="287" spans="19:23" ht="12.75">
      <c r="S287" s="140"/>
      <c r="T287" s="47" t="s">
        <v>3618</v>
      </c>
      <c r="U287" s="47" t="s">
        <v>3557</v>
      </c>
      <c r="V287" s="141">
        <v>80071</v>
      </c>
      <c r="W287" s="337"/>
    </row>
    <row r="288" spans="19:23" ht="12.75">
      <c r="S288" s="140"/>
      <c r="T288" s="47" t="s">
        <v>866</v>
      </c>
      <c r="U288" s="47" t="s">
        <v>867</v>
      </c>
      <c r="V288" s="141">
        <v>207108</v>
      </c>
      <c r="W288" s="139"/>
    </row>
    <row r="289" spans="19:23" ht="12.75">
      <c r="S289" s="140"/>
      <c r="T289" s="47" t="s">
        <v>868</v>
      </c>
      <c r="U289" s="47" t="s">
        <v>869</v>
      </c>
      <c r="V289" s="141">
        <v>87150</v>
      </c>
      <c r="W289" s="139"/>
    </row>
    <row r="290" spans="19:23" ht="12.75">
      <c r="S290" s="140"/>
      <c r="T290" s="47" t="s">
        <v>870</v>
      </c>
      <c r="U290" s="47" t="s">
        <v>871</v>
      </c>
      <c r="V290" s="141">
        <v>92780</v>
      </c>
      <c r="W290" s="139"/>
    </row>
    <row r="291" spans="19:23" ht="12.75">
      <c r="S291" s="140"/>
      <c r="T291" s="47" t="s">
        <v>872</v>
      </c>
      <c r="U291" s="47" t="s">
        <v>873</v>
      </c>
      <c r="V291" s="141">
        <v>99997</v>
      </c>
      <c r="W291" s="139"/>
    </row>
    <row r="292" spans="19:23" ht="12.75">
      <c r="S292" s="140"/>
      <c r="T292" s="47" t="s">
        <v>874</v>
      </c>
      <c r="U292" s="47" t="s">
        <v>875</v>
      </c>
      <c r="V292" s="141">
        <v>116989</v>
      </c>
      <c r="W292" s="139"/>
    </row>
    <row r="293" spans="19:23" ht="12.75">
      <c r="S293" s="140"/>
      <c r="T293" s="47" t="s">
        <v>876</v>
      </c>
      <c r="U293" s="47" t="s">
        <v>877</v>
      </c>
      <c r="V293" s="141">
        <v>124206</v>
      </c>
      <c r="W293" s="139"/>
    </row>
    <row r="294" spans="19:23" ht="12.75">
      <c r="S294" s="140"/>
      <c r="T294" s="47" t="s">
        <v>878</v>
      </c>
      <c r="U294" s="47" t="s">
        <v>879</v>
      </c>
      <c r="V294" s="141">
        <v>214186</v>
      </c>
      <c r="W294" s="139"/>
    </row>
    <row r="295" spans="19:23" ht="12.75">
      <c r="S295" s="140"/>
      <c r="T295" s="47" t="s">
        <v>4766</v>
      </c>
      <c r="U295" s="47" t="s">
        <v>3563</v>
      </c>
      <c r="V295" s="141">
        <v>85701</v>
      </c>
      <c r="W295" s="337"/>
    </row>
    <row r="296" spans="19:23" ht="12.75">
      <c r="S296" s="140"/>
      <c r="T296" s="47" t="s">
        <v>3621</v>
      </c>
      <c r="U296" s="47" t="s">
        <v>3560</v>
      </c>
      <c r="V296" s="141">
        <v>92919</v>
      </c>
      <c r="W296" s="337"/>
    </row>
    <row r="297" spans="19:23" ht="12.75">
      <c r="S297" s="140"/>
      <c r="T297" s="47" t="s">
        <v>4772</v>
      </c>
      <c r="U297" s="47" t="s">
        <v>3569</v>
      </c>
      <c r="V297" s="141">
        <v>109911</v>
      </c>
      <c r="W297" s="337"/>
    </row>
    <row r="298" spans="19:23" ht="12.75">
      <c r="S298" s="140"/>
      <c r="T298" s="47" t="s">
        <v>4769</v>
      </c>
      <c r="U298" s="47" t="s">
        <v>3566</v>
      </c>
      <c r="V298" s="141">
        <v>117128</v>
      </c>
      <c r="W298" s="337"/>
    </row>
    <row r="299" spans="19:23" ht="12.75">
      <c r="S299" s="140"/>
      <c r="T299" s="47" t="s">
        <v>3619</v>
      </c>
      <c r="U299" s="47" t="s">
        <v>3558</v>
      </c>
      <c r="V299" s="141">
        <v>85787</v>
      </c>
      <c r="W299" s="337"/>
    </row>
    <row r="300" spans="19:23" ht="12.75">
      <c r="S300" s="140"/>
      <c r="T300" s="47" t="s">
        <v>4767</v>
      </c>
      <c r="U300" s="47" t="s">
        <v>3564</v>
      </c>
      <c r="V300" s="141">
        <v>91418</v>
      </c>
      <c r="W300" s="337"/>
    </row>
    <row r="301" spans="19:23" ht="12.75">
      <c r="S301" s="140"/>
      <c r="T301" s="47" t="s">
        <v>3622</v>
      </c>
      <c r="U301" s="47" t="s">
        <v>3561</v>
      </c>
      <c r="V301" s="141">
        <v>98635</v>
      </c>
      <c r="W301" s="337"/>
    </row>
    <row r="302" spans="19:23" ht="12.75">
      <c r="S302" s="140"/>
      <c r="T302" s="47" t="s">
        <v>4773</v>
      </c>
      <c r="U302" s="47" t="s">
        <v>3570</v>
      </c>
      <c r="V302" s="141">
        <v>115628</v>
      </c>
      <c r="W302" s="337"/>
    </row>
    <row r="303" spans="19:23" ht="12.75">
      <c r="S303" s="140"/>
      <c r="T303" s="47" t="s">
        <v>4770</v>
      </c>
      <c r="U303" s="47" t="s">
        <v>3567</v>
      </c>
      <c r="V303" s="141">
        <v>122844</v>
      </c>
      <c r="W303" s="337"/>
    </row>
    <row r="304" spans="19:23" ht="12.75">
      <c r="S304" s="140"/>
      <c r="T304" s="47" t="s">
        <v>3617</v>
      </c>
      <c r="U304" s="47" t="s">
        <v>3556</v>
      </c>
      <c r="V304" s="141">
        <v>90400</v>
      </c>
      <c r="W304" s="337"/>
    </row>
    <row r="305" spans="19:23" ht="12.75">
      <c r="S305" s="140"/>
      <c r="T305" s="47" t="s">
        <v>4765</v>
      </c>
      <c r="U305" s="47" t="s">
        <v>3562</v>
      </c>
      <c r="V305" s="141">
        <v>96030</v>
      </c>
      <c r="W305" s="337"/>
    </row>
    <row r="306" spans="19:23" ht="12.75">
      <c r="S306" s="140"/>
      <c r="T306" s="47" t="s">
        <v>3620</v>
      </c>
      <c r="U306" s="47" t="s">
        <v>3559</v>
      </c>
      <c r="V306" s="141">
        <v>103248</v>
      </c>
      <c r="W306" s="337"/>
    </row>
    <row r="307" spans="19:23" ht="12.75">
      <c r="S307" s="140"/>
      <c r="T307" s="47" t="s">
        <v>4771</v>
      </c>
      <c r="U307" s="47" t="s">
        <v>3568</v>
      </c>
      <c r="V307" s="141">
        <v>120240</v>
      </c>
      <c r="W307" s="337"/>
    </row>
    <row r="308" spans="19:23" ht="12.75">
      <c r="S308" s="140"/>
      <c r="T308" s="47" t="s">
        <v>4768</v>
      </c>
      <c r="U308" s="47" t="s">
        <v>3565</v>
      </c>
      <c r="V308" s="141">
        <v>127457</v>
      </c>
      <c r="W308" s="337"/>
    </row>
    <row r="309" spans="19:23" ht="12.75">
      <c r="S309" s="140"/>
      <c r="T309" s="47" t="s">
        <v>4774</v>
      </c>
      <c r="U309" s="47" t="s">
        <v>3571</v>
      </c>
      <c r="V309" s="141">
        <v>72710</v>
      </c>
      <c r="W309" s="337"/>
    </row>
    <row r="310" spans="19:23" ht="12.75">
      <c r="S310" s="140"/>
      <c r="T310" s="47" t="s">
        <v>4776</v>
      </c>
      <c r="U310" s="47" t="s">
        <v>2846</v>
      </c>
      <c r="V310" s="141">
        <v>78339</v>
      </c>
      <c r="W310" s="337"/>
    </row>
    <row r="311" spans="19:23" ht="12.75">
      <c r="S311" s="140"/>
      <c r="T311" s="47" t="s">
        <v>4775</v>
      </c>
      <c r="U311" s="47" t="s">
        <v>2845</v>
      </c>
      <c r="V311" s="141">
        <v>85556</v>
      </c>
      <c r="W311" s="337"/>
    </row>
    <row r="312" spans="19:23" ht="12.75">
      <c r="S312" s="140"/>
      <c r="T312" s="47" t="s">
        <v>4778</v>
      </c>
      <c r="U312" s="47" t="s">
        <v>2848</v>
      </c>
      <c r="V312" s="141">
        <v>102549</v>
      </c>
      <c r="W312" s="337"/>
    </row>
    <row r="313" spans="19:23" ht="12.75">
      <c r="S313" s="140"/>
      <c r="T313" s="47" t="s">
        <v>4777</v>
      </c>
      <c r="U313" s="47" t="s">
        <v>2847</v>
      </c>
      <c r="V313" s="141">
        <v>109765</v>
      </c>
      <c r="W313" s="337"/>
    </row>
    <row r="314" spans="19:23" ht="12.75">
      <c r="S314" s="140"/>
      <c r="T314" s="47" t="s">
        <v>880</v>
      </c>
      <c r="U314" s="47" t="s">
        <v>881</v>
      </c>
      <c r="V314" s="141">
        <v>199745</v>
      </c>
      <c r="W314" s="139"/>
    </row>
    <row r="315" spans="19:23" ht="12.75">
      <c r="S315" s="140"/>
      <c r="T315" s="47" t="s">
        <v>882</v>
      </c>
      <c r="U315" s="47" t="s">
        <v>883</v>
      </c>
      <c r="V315" s="141">
        <v>82410</v>
      </c>
      <c r="W315" s="139"/>
    </row>
    <row r="316" spans="19:23" ht="12.75">
      <c r="S316" s="140"/>
      <c r="T316" s="47" t="s">
        <v>884</v>
      </c>
      <c r="U316" s="47" t="s">
        <v>885</v>
      </c>
      <c r="V316" s="141">
        <v>88041</v>
      </c>
      <c r="W316" s="139"/>
    </row>
    <row r="317" spans="19:23" ht="12.75">
      <c r="S317" s="140"/>
      <c r="T317" s="47" t="s">
        <v>886</v>
      </c>
      <c r="U317" s="47" t="s">
        <v>887</v>
      </c>
      <c r="V317" s="141">
        <v>95258</v>
      </c>
      <c r="W317" s="139"/>
    </row>
    <row r="318" spans="19:23" ht="12.75">
      <c r="S318" s="140"/>
      <c r="T318" s="47" t="s">
        <v>888</v>
      </c>
      <c r="U318" s="47" t="s">
        <v>889</v>
      </c>
      <c r="V318" s="141">
        <v>112250</v>
      </c>
      <c r="W318" s="139"/>
    </row>
    <row r="319" spans="19:23" ht="12.75">
      <c r="S319" s="140"/>
      <c r="T319" s="47" t="s">
        <v>890</v>
      </c>
      <c r="U319" s="47" t="s">
        <v>891</v>
      </c>
      <c r="V319" s="141">
        <v>119466</v>
      </c>
      <c r="W319" s="139"/>
    </row>
    <row r="320" spans="19:23" ht="12.75">
      <c r="S320" s="140"/>
      <c r="T320" s="47" t="s">
        <v>892</v>
      </c>
      <c r="U320" s="47" t="s">
        <v>893</v>
      </c>
      <c r="V320" s="141">
        <v>209446</v>
      </c>
      <c r="W320" s="139"/>
    </row>
    <row r="321" spans="19:23" ht="12.75">
      <c r="S321" s="140"/>
      <c r="T321" s="47" t="s">
        <v>4779</v>
      </c>
      <c r="U321" s="47" t="s">
        <v>2849</v>
      </c>
      <c r="V321" s="141">
        <v>80655</v>
      </c>
      <c r="W321" s="337"/>
    </row>
    <row r="322" spans="19:23" ht="12.75">
      <c r="S322" s="140"/>
      <c r="T322" s="47" t="s">
        <v>4781</v>
      </c>
      <c r="U322" s="47" t="s">
        <v>2851</v>
      </c>
      <c r="V322" s="141">
        <v>86287</v>
      </c>
      <c r="W322" s="337"/>
    </row>
    <row r="323" spans="19:23" ht="12.75">
      <c r="S323" s="140"/>
      <c r="T323" s="47" t="s">
        <v>4780</v>
      </c>
      <c r="U323" s="47" t="s">
        <v>2850</v>
      </c>
      <c r="V323" s="141">
        <v>93504</v>
      </c>
      <c r="W323" s="337"/>
    </row>
    <row r="324" spans="19:23" ht="12.75">
      <c r="S324" s="140"/>
      <c r="T324" s="47" t="s">
        <v>4783</v>
      </c>
      <c r="U324" s="47" t="s">
        <v>3581</v>
      </c>
      <c r="V324" s="141">
        <v>110496</v>
      </c>
      <c r="W324" s="337"/>
    </row>
    <row r="325" spans="19:23" ht="12.75">
      <c r="S325" s="140"/>
      <c r="T325" s="47" t="s">
        <v>4782</v>
      </c>
      <c r="U325" s="47" t="s">
        <v>3580</v>
      </c>
      <c r="V325" s="141">
        <v>117713</v>
      </c>
      <c r="W325" s="337"/>
    </row>
    <row r="326" spans="19:23" ht="12.75">
      <c r="S326" s="140"/>
      <c r="T326" s="47" t="s">
        <v>894</v>
      </c>
      <c r="U326" s="47" t="s">
        <v>895</v>
      </c>
      <c r="V326" s="141">
        <v>207693</v>
      </c>
      <c r="W326" s="139"/>
    </row>
    <row r="327" spans="19:23" ht="12.75">
      <c r="S327" s="140"/>
      <c r="T327" s="47" t="s">
        <v>896</v>
      </c>
      <c r="U327" s="47" t="s">
        <v>897</v>
      </c>
      <c r="V327" s="141">
        <v>90357</v>
      </c>
      <c r="W327" s="139"/>
    </row>
    <row r="328" spans="19:23" ht="12.75">
      <c r="S328" s="140"/>
      <c r="T328" s="47" t="s">
        <v>898</v>
      </c>
      <c r="U328" s="47" t="s">
        <v>899</v>
      </c>
      <c r="V328" s="141">
        <v>95987</v>
      </c>
      <c r="W328" s="139"/>
    </row>
    <row r="329" spans="19:23" ht="12.75">
      <c r="S329" s="140"/>
      <c r="T329" s="47" t="s">
        <v>900</v>
      </c>
      <c r="U329" s="47" t="s">
        <v>901</v>
      </c>
      <c r="V329" s="141">
        <v>103204</v>
      </c>
      <c r="W329" s="139"/>
    </row>
    <row r="330" spans="19:23" ht="12.75">
      <c r="S330" s="140"/>
      <c r="T330" s="47" t="s">
        <v>902</v>
      </c>
      <c r="U330" s="47" t="s">
        <v>903</v>
      </c>
      <c r="V330" s="141">
        <v>120196</v>
      </c>
      <c r="W330" s="139"/>
    </row>
    <row r="331" spans="19:23" ht="12.75">
      <c r="S331" s="140"/>
      <c r="T331" s="47" t="s">
        <v>904</v>
      </c>
      <c r="U331" s="47" t="s">
        <v>905</v>
      </c>
      <c r="V331" s="141">
        <v>127413</v>
      </c>
      <c r="W331" s="139"/>
    </row>
    <row r="332" spans="19:23" ht="12.75">
      <c r="S332" s="140"/>
      <c r="T332" s="47" t="s">
        <v>906</v>
      </c>
      <c r="U332" s="47" t="s">
        <v>907</v>
      </c>
      <c r="V332" s="141">
        <v>217392</v>
      </c>
      <c r="W332" s="139"/>
    </row>
    <row r="333" spans="19:23" ht="12.75">
      <c r="S333" s="140"/>
      <c r="T333" s="47" t="s">
        <v>2338</v>
      </c>
      <c r="U333" s="47" t="s">
        <v>1542</v>
      </c>
      <c r="V333" s="141">
        <v>24138</v>
      </c>
      <c r="W333" s="337"/>
    </row>
    <row r="334" spans="19:23" ht="12.75">
      <c r="S334" s="140"/>
      <c r="T334" s="47" t="s">
        <v>2339</v>
      </c>
      <c r="U334" s="47" t="s">
        <v>1543</v>
      </c>
      <c r="V334" s="141">
        <v>29853</v>
      </c>
      <c r="W334" s="337"/>
    </row>
    <row r="335" spans="19:23" ht="12.75">
      <c r="S335" s="140"/>
      <c r="T335" s="47" t="s">
        <v>2336</v>
      </c>
      <c r="U335" s="47" t="s">
        <v>1539</v>
      </c>
      <c r="V335" s="141">
        <v>34464</v>
      </c>
      <c r="W335" s="337"/>
    </row>
    <row r="336" spans="19:23" ht="12.75">
      <c r="S336" s="140"/>
      <c r="T336" s="47" t="s">
        <v>2337</v>
      </c>
      <c r="U336" s="47" t="s">
        <v>1541</v>
      </c>
      <c r="V336" s="141">
        <v>24138</v>
      </c>
      <c r="W336" s="337"/>
    </row>
    <row r="337" spans="19:23" ht="12.75">
      <c r="S337" s="140"/>
      <c r="T337" s="47" t="s">
        <v>4785</v>
      </c>
      <c r="U337" s="47" t="s">
        <v>2856</v>
      </c>
      <c r="V337" s="141">
        <v>91131</v>
      </c>
      <c r="W337" s="337"/>
    </row>
    <row r="338" spans="19:23" ht="12.75">
      <c r="S338" s="140"/>
      <c r="T338" s="47" t="s">
        <v>4791</v>
      </c>
      <c r="U338" s="47" t="s">
        <v>3589</v>
      </c>
      <c r="V338" s="141">
        <v>96761</v>
      </c>
      <c r="W338" s="337"/>
    </row>
    <row r="339" spans="19:23" ht="12.75">
      <c r="S339" s="140"/>
      <c r="T339" s="47" t="s">
        <v>4788</v>
      </c>
      <c r="U339" s="47" t="s">
        <v>3586</v>
      </c>
      <c r="V339" s="141">
        <v>103978</v>
      </c>
      <c r="W339" s="337"/>
    </row>
    <row r="340" spans="19:23" ht="12.75">
      <c r="S340" s="140"/>
      <c r="T340" s="47" t="s">
        <v>4797</v>
      </c>
      <c r="U340" s="47" t="s">
        <v>3595</v>
      </c>
      <c r="V340" s="141">
        <v>120970</v>
      </c>
      <c r="W340" s="337"/>
    </row>
    <row r="341" spans="19:23" ht="12.75">
      <c r="S341" s="140"/>
      <c r="T341" s="47" t="s">
        <v>4794</v>
      </c>
      <c r="U341" s="47" t="s">
        <v>3592</v>
      </c>
      <c r="V341" s="141">
        <v>128188</v>
      </c>
      <c r="W341" s="337"/>
    </row>
    <row r="342" spans="19:23" ht="12.75">
      <c r="S342" s="140"/>
      <c r="T342" s="47" t="s">
        <v>908</v>
      </c>
      <c r="U342" s="47" t="s">
        <v>909</v>
      </c>
      <c r="V342" s="141">
        <v>218167</v>
      </c>
      <c r="W342" s="139"/>
    </row>
    <row r="343" spans="19:23" ht="12.75">
      <c r="S343" s="140"/>
      <c r="T343" s="47" t="s">
        <v>911</v>
      </c>
      <c r="U343" s="47" t="s">
        <v>912</v>
      </c>
      <c r="V343" s="141">
        <v>99846</v>
      </c>
      <c r="W343" s="139"/>
    </row>
    <row r="344" spans="19:23" ht="12.75">
      <c r="S344" s="140"/>
      <c r="T344" s="47" t="s">
        <v>913</v>
      </c>
      <c r="U344" s="47" t="s">
        <v>914</v>
      </c>
      <c r="V344" s="141">
        <v>105477</v>
      </c>
      <c r="W344" s="139"/>
    </row>
    <row r="345" spans="19:23" ht="12.75">
      <c r="S345" s="140"/>
      <c r="T345" s="47" t="s">
        <v>915</v>
      </c>
      <c r="U345" s="47" t="s">
        <v>916</v>
      </c>
      <c r="V345" s="141">
        <v>112694</v>
      </c>
      <c r="W345" s="139"/>
    </row>
    <row r="346" spans="19:23" ht="12.75">
      <c r="S346" s="140"/>
      <c r="T346" s="47" t="s">
        <v>917</v>
      </c>
      <c r="U346" s="47" t="s">
        <v>918</v>
      </c>
      <c r="V346" s="141">
        <v>129686</v>
      </c>
      <c r="W346" s="139"/>
    </row>
    <row r="347" spans="19:23" ht="12.75">
      <c r="S347" s="140"/>
      <c r="T347" s="47" t="s">
        <v>919</v>
      </c>
      <c r="U347" s="47" t="s">
        <v>920</v>
      </c>
      <c r="V347" s="141">
        <v>136902</v>
      </c>
      <c r="W347" s="139"/>
    </row>
    <row r="348" spans="19:23" ht="12.75">
      <c r="S348" s="140"/>
      <c r="T348" s="47" t="s">
        <v>921</v>
      </c>
      <c r="U348" s="47" t="s">
        <v>922</v>
      </c>
      <c r="V348" s="141">
        <v>226882</v>
      </c>
      <c r="W348" s="139"/>
    </row>
    <row r="349" spans="19:23" ht="12.75">
      <c r="S349" s="140"/>
      <c r="T349" s="47" t="s">
        <v>4786</v>
      </c>
      <c r="U349" s="47" t="s">
        <v>2857</v>
      </c>
      <c r="V349" s="141">
        <v>98724</v>
      </c>
      <c r="W349" s="337"/>
    </row>
    <row r="350" spans="19:23" ht="12.75">
      <c r="S350" s="140"/>
      <c r="T350" s="47" t="s">
        <v>4792</v>
      </c>
      <c r="U350" s="47" t="s">
        <v>3590</v>
      </c>
      <c r="V350" s="141">
        <v>104355</v>
      </c>
      <c r="W350" s="337"/>
    </row>
    <row r="351" spans="19:23" ht="12.75">
      <c r="S351" s="140"/>
      <c r="T351" s="47" t="s">
        <v>4789</v>
      </c>
      <c r="U351" s="47" t="s">
        <v>3587</v>
      </c>
      <c r="V351" s="141">
        <v>111573</v>
      </c>
      <c r="W351" s="337"/>
    </row>
    <row r="352" spans="19:23" ht="12.75">
      <c r="S352" s="140"/>
      <c r="T352" s="47" t="s">
        <v>4798</v>
      </c>
      <c r="U352" s="47" t="s">
        <v>3596</v>
      </c>
      <c r="V352" s="141">
        <v>128564</v>
      </c>
      <c r="W352" s="337"/>
    </row>
    <row r="353" spans="19:23" ht="12.75">
      <c r="S353" s="140"/>
      <c r="T353" s="47" t="s">
        <v>4795</v>
      </c>
      <c r="U353" s="47" t="s">
        <v>3593</v>
      </c>
      <c r="V353" s="141">
        <v>135781</v>
      </c>
      <c r="W353" s="337"/>
    </row>
    <row r="354" spans="19:23" ht="12.75">
      <c r="S354" s="140"/>
      <c r="T354" s="47" t="s">
        <v>4784</v>
      </c>
      <c r="U354" s="47" t="s">
        <v>2855</v>
      </c>
      <c r="V354" s="141">
        <v>105011</v>
      </c>
      <c r="W354" s="337"/>
    </row>
    <row r="355" spans="19:23" ht="12.75">
      <c r="S355" s="140"/>
      <c r="T355" s="47" t="s">
        <v>4790</v>
      </c>
      <c r="U355" s="47" t="s">
        <v>3588</v>
      </c>
      <c r="V355" s="141">
        <v>110641</v>
      </c>
      <c r="W355" s="337"/>
    </row>
    <row r="356" spans="19:23" ht="12.75">
      <c r="S356" s="140"/>
      <c r="T356" s="47" t="s">
        <v>4787</v>
      </c>
      <c r="U356" s="47" t="s">
        <v>2858</v>
      </c>
      <c r="V356" s="141">
        <v>117860</v>
      </c>
      <c r="W356" s="337"/>
    </row>
    <row r="357" spans="19:23" ht="12.75">
      <c r="S357" s="140"/>
      <c r="T357" s="47" t="s">
        <v>4796</v>
      </c>
      <c r="U357" s="47" t="s">
        <v>3594</v>
      </c>
      <c r="V357" s="141">
        <v>134850</v>
      </c>
      <c r="W357" s="337"/>
    </row>
    <row r="358" spans="19:23" ht="12.75">
      <c r="S358" s="140"/>
      <c r="T358" s="47" t="s">
        <v>4793</v>
      </c>
      <c r="U358" s="47" t="s">
        <v>3591</v>
      </c>
      <c r="V358" s="141">
        <v>142069</v>
      </c>
      <c r="W358" s="337"/>
    </row>
    <row r="359" spans="19:23" ht="12.75">
      <c r="S359" s="140"/>
      <c r="T359" s="47" t="s">
        <v>4800</v>
      </c>
      <c r="U359" s="47" t="s">
        <v>3598</v>
      </c>
      <c r="V359" s="141">
        <v>102605</v>
      </c>
      <c r="W359" s="337"/>
    </row>
    <row r="360" spans="19:23" ht="12.75">
      <c r="S360" s="140"/>
      <c r="T360" s="47" t="s">
        <v>4806</v>
      </c>
      <c r="U360" s="47" t="s">
        <v>3604</v>
      </c>
      <c r="V360" s="141">
        <v>108236</v>
      </c>
      <c r="W360" s="337"/>
    </row>
    <row r="361" spans="19:23" ht="12.75">
      <c r="S361" s="140"/>
      <c r="T361" s="47" t="s">
        <v>4803</v>
      </c>
      <c r="U361" s="47" t="s">
        <v>3601</v>
      </c>
      <c r="V361" s="141">
        <v>115453</v>
      </c>
      <c r="W361" s="337"/>
    </row>
    <row r="362" spans="19:23" ht="12.75">
      <c r="S362" s="140"/>
      <c r="T362" s="47" t="s">
        <v>4812</v>
      </c>
      <c r="U362" s="47" t="s">
        <v>4642</v>
      </c>
      <c r="V362" s="141">
        <v>132444</v>
      </c>
      <c r="W362" s="337"/>
    </row>
    <row r="363" spans="19:23" ht="12.75">
      <c r="S363" s="140"/>
      <c r="T363" s="47" t="s">
        <v>4809</v>
      </c>
      <c r="U363" s="47" t="s">
        <v>3607</v>
      </c>
      <c r="V363" s="141">
        <v>139663</v>
      </c>
      <c r="W363" s="337"/>
    </row>
    <row r="364" spans="19:23" ht="12.75">
      <c r="S364" s="140"/>
      <c r="T364" s="47" t="s">
        <v>923</v>
      </c>
      <c r="U364" s="47" t="s">
        <v>924</v>
      </c>
      <c r="V364" s="141">
        <v>229643</v>
      </c>
      <c r="W364" s="139"/>
    </row>
    <row r="365" spans="19:23" ht="12.75">
      <c r="S365" s="140"/>
      <c r="T365" s="47" t="s">
        <v>925</v>
      </c>
      <c r="U365" s="47" t="s">
        <v>926</v>
      </c>
      <c r="V365" s="141">
        <v>111320</v>
      </c>
      <c r="W365" s="139"/>
    </row>
    <row r="366" spans="19:23" ht="12.75">
      <c r="S366" s="140"/>
      <c r="T366" s="47" t="s">
        <v>927</v>
      </c>
      <c r="U366" s="47" t="s">
        <v>928</v>
      </c>
      <c r="V366" s="141">
        <v>116950</v>
      </c>
      <c r="W366" s="139"/>
    </row>
    <row r="367" spans="19:23" ht="12.75">
      <c r="S367" s="140"/>
      <c r="T367" s="47" t="s">
        <v>929</v>
      </c>
      <c r="U367" s="47" t="s">
        <v>930</v>
      </c>
      <c r="V367" s="141">
        <v>124167</v>
      </c>
      <c r="W367" s="139"/>
    </row>
    <row r="368" spans="19:23" ht="12.75">
      <c r="S368" s="140"/>
      <c r="T368" s="47" t="s">
        <v>931</v>
      </c>
      <c r="U368" s="47" t="s">
        <v>932</v>
      </c>
      <c r="V368" s="141">
        <v>141159</v>
      </c>
      <c r="W368" s="139"/>
    </row>
    <row r="369" spans="19:23" ht="12.75">
      <c r="S369" s="140"/>
      <c r="T369" s="47" t="s">
        <v>933</v>
      </c>
      <c r="U369" s="47" t="s">
        <v>934</v>
      </c>
      <c r="V369" s="141">
        <v>148376</v>
      </c>
      <c r="W369" s="139"/>
    </row>
    <row r="370" spans="19:23" ht="12.75">
      <c r="S370" s="140"/>
      <c r="T370" s="47" t="s">
        <v>935</v>
      </c>
      <c r="U370" s="47" t="s">
        <v>936</v>
      </c>
      <c r="V370" s="141">
        <v>238356</v>
      </c>
      <c r="W370" s="139"/>
    </row>
    <row r="371" spans="19:23" ht="12.75">
      <c r="S371" s="140"/>
      <c r="T371" s="47" t="s">
        <v>4801</v>
      </c>
      <c r="U371" s="47" t="s">
        <v>3599</v>
      </c>
      <c r="V371" s="141">
        <v>110199</v>
      </c>
      <c r="W371" s="337"/>
    </row>
    <row r="372" spans="19:23" ht="12.75">
      <c r="S372" s="140"/>
      <c r="T372" s="47" t="s">
        <v>4807</v>
      </c>
      <c r="U372" s="47" t="s">
        <v>3605</v>
      </c>
      <c r="V372" s="141">
        <v>115829</v>
      </c>
      <c r="W372" s="337"/>
    </row>
    <row r="373" spans="19:23" ht="12.75">
      <c r="S373" s="140"/>
      <c r="T373" s="47" t="s">
        <v>4804</v>
      </c>
      <c r="U373" s="47" t="s">
        <v>3602</v>
      </c>
      <c r="V373" s="141">
        <v>123047</v>
      </c>
      <c r="W373" s="337"/>
    </row>
    <row r="374" spans="19:23" ht="12.75">
      <c r="S374" s="140"/>
      <c r="T374" s="47" t="s">
        <v>4813</v>
      </c>
      <c r="U374" s="47" t="s">
        <v>4643</v>
      </c>
      <c r="V374" s="141">
        <v>140039</v>
      </c>
      <c r="W374" s="337"/>
    </row>
    <row r="375" spans="19:23" ht="12.75">
      <c r="S375" s="140"/>
      <c r="T375" s="47" t="s">
        <v>4810</v>
      </c>
      <c r="U375" s="47" t="s">
        <v>3608</v>
      </c>
      <c r="V375" s="141">
        <v>147257</v>
      </c>
      <c r="W375" s="337"/>
    </row>
    <row r="376" spans="19:23" ht="12.75">
      <c r="S376" s="140"/>
      <c r="T376" s="47" t="s">
        <v>4799</v>
      </c>
      <c r="U376" s="47" t="s">
        <v>3597</v>
      </c>
      <c r="V376" s="141">
        <v>116486</v>
      </c>
      <c r="W376" s="337"/>
    </row>
    <row r="377" spans="19:23" ht="12.75">
      <c r="S377" s="140"/>
      <c r="T377" s="47" t="s">
        <v>4805</v>
      </c>
      <c r="U377" s="47" t="s">
        <v>3603</v>
      </c>
      <c r="V377" s="141">
        <v>122117</v>
      </c>
      <c r="W377" s="337"/>
    </row>
    <row r="378" spans="19:23" ht="12.75">
      <c r="S378" s="140"/>
      <c r="T378" s="47" t="s">
        <v>4802</v>
      </c>
      <c r="U378" s="47" t="s">
        <v>3600</v>
      </c>
      <c r="V378" s="141">
        <v>129333</v>
      </c>
      <c r="W378" s="337"/>
    </row>
    <row r="379" spans="19:23" ht="12.75">
      <c r="S379" s="140"/>
      <c r="T379" s="47" t="s">
        <v>4811</v>
      </c>
      <c r="U379" s="47" t="s">
        <v>4641</v>
      </c>
      <c r="V379" s="141">
        <v>146326</v>
      </c>
      <c r="W379" s="337"/>
    </row>
    <row r="380" spans="19:23" ht="12.75">
      <c r="S380" s="140"/>
      <c r="T380" s="47" t="s">
        <v>4808</v>
      </c>
      <c r="U380" s="47" t="s">
        <v>3606</v>
      </c>
      <c r="V380" s="141">
        <v>153543</v>
      </c>
      <c r="W380" s="337"/>
    </row>
    <row r="381" spans="19:23" ht="12.75">
      <c r="S381" s="140"/>
      <c r="T381" s="47" t="s">
        <v>4814</v>
      </c>
      <c r="U381" s="47" t="s">
        <v>3623</v>
      </c>
      <c r="V381" s="141">
        <v>111102</v>
      </c>
      <c r="W381" s="337"/>
    </row>
    <row r="382" spans="19:23" ht="12.75">
      <c r="S382" s="140"/>
      <c r="T382" s="47" t="s">
        <v>4816</v>
      </c>
      <c r="U382" s="47" t="s">
        <v>3625</v>
      </c>
      <c r="V382" s="141">
        <v>116731</v>
      </c>
      <c r="W382" s="337"/>
    </row>
    <row r="383" spans="19:23" ht="12.75">
      <c r="S383" s="140"/>
      <c r="T383" s="47" t="s">
        <v>4815</v>
      </c>
      <c r="U383" s="47" t="s">
        <v>3624</v>
      </c>
      <c r="V383" s="141">
        <v>123950</v>
      </c>
      <c r="W383" s="337"/>
    </row>
    <row r="384" spans="19:23" ht="12.75">
      <c r="S384" s="140"/>
      <c r="T384" s="47" t="s">
        <v>4818</v>
      </c>
      <c r="U384" s="47" t="s">
        <v>3627</v>
      </c>
      <c r="V384" s="141">
        <v>140940</v>
      </c>
      <c r="W384" s="337"/>
    </row>
    <row r="385" spans="19:23" ht="12.75">
      <c r="S385" s="140"/>
      <c r="T385" s="47" t="s">
        <v>4817</v>
      </c>
      <c r="U385" s="47" t="s">
        <v>3626</v>
      </c>
      <c r="V385" s="141">
        <v>148158</v>
      </c>
      <c r="W385" s="337"/>
    </row>
    <row r="386" spans="19:23" ht="12.75">
      <c r="S386" s="140"/>
      <c r="T386" s="47" t="s">
        <v>937</v>
      </c>
      <c r="U386" s="47" t="s">
        <v>938</v>
      </c>
      <c r="V386" s="141">
        <v>238137</v>
      </c>
      <c r="W386" s="139"/>
    </row>
    <row r="387" spans="19:23" ht="12.75">
      <c r="S387" s="140"/>
      <c r="T387" s="47" t="s">
        <v>939</v>
      </c>
      <c r="U387" s="47" t="s">
        <v>940</v>
      </c>
      <c r="V387" s="141">
        <v>118329</v>
      </c>
      <c r="W387" s="139"/>
    </row>
    <row r="388" spans="19:23" ht="12.75">
      <c r="S388" s="140"/>
      <c r="T388" s="47" t="s">
        <v>941</v>
      </c>
      <c r="U388" s="47" t="s">
        <v>942</v>
      </c>
      <c r="V388" s="141">
        <v>123959</v>
      </c>
      <c r="W388" s="139"/>
    </row>
    <row r="389" spans="19:23" ht="12.75">
      <c r="S389" s="140"/>
      <c r="T389" s="47" t="s">
        <v>943</v>
      </c>
      <c r="U389" s="47" t="s">
        <v>944</v>
      </c>
      <c r="V389" s="141">
        <v>131176</v>
      </c>
      <c r="W389" s="139"/>
    </row>
    <row r="390" spans="19:23" ht="12.75">
      <c r="S390" s="140"/>
      <c r="T390" s="47" t="s">
        <v>945</v>
      </c>
      <c r="U390" s="47" t="s">
        <v>946</v>
      </c>
      <c r="V390" s="141">
        <v>148169</v>
      </c>
      <c r="W390" s="139"/>
    </row>
    <row r="391" spans="19:23" ht="12.75">
      <c r="S391" s="140"/>
      <c r="T391" s="47" t="s">
        <v>947</v>
      </c>
      <c r="U391" s="47" t="s">
        <v>948</v>
      </c>
      <c r="V391" s="141">
        <v>155385</v>
      </c>
      <c r="W391" s="139"/>
    </row>
    <row r="392" spans="19:23" ht="12.75">
      <c r="S392" s="140"/>
      <c r="T392" s="47" t="s">
        <v>949</v>
      </c>
      <c r="U392" s="47" t="s">
        <v>950</v>
      </c>
      <c r="V392" s="141">
        <v>245364</v>
      </c>
      <c r="W392" s="139"/>
    </row>
    <row r="393" spans="19:23" ht="12.75">
      <c r="S393" s="140"/>
      <c r="T393" s="47" t="s">
        <v>4819</v>
      </c>
      <c r="U393" s="47" t="s">
        <v>3628</v>
      </c>
      <c r="V393" s="141">
        <v>108468</v>
      </c>
      <c r="W393" s="337"/>
    </row>
    <row r="394" spans="19:23" ht="12.75">
      <c r="S394" s="140"/>
      <c r="T394" s="47" t="s">
        <v>4821</v>
      </c>
      <c r="U394" s="47" t="s">
        <v>3630</v>
      </c>
      <c r="V394" s="141">
        <v>114098</v>
      </c>
      <c r="W394" s="337"/>
    </row>
    <row r="395" spans="19:23" ht="12.75">
      <c r="S395" s="140"/>
      <c r="T395" s="47" t="s">
        <v>4820</v>
      </c>
      <c r="U395" s="47" t="s">
        <v>3629</v>
      </c>
      <c r="V395" s="141">
        <v>121316</v>
      </c>
      <c r="W395" s="337"/>
    </row>
    <row r="396" spans="19:23" ht="12.75">
      <c r="S396" s="140"/>
      <c r="T396" s="47" t="s">
        <v>4823</v>
      </c>
      <c r="U396" s="47" t="s">
        <v>3632</v>
      </c>
      <c r="V396" s="141">
        <v>138306</v>
      </c>
      <c r="W396" s="337"/>
    </row>
    <row r="397" spans="19:23" ht="12.75">
      <c r="S397" s="140"/>
      <c r="T397" s="47" t="s">
        <v>4822</v>
      </c>
      <c r="U397" s="47" t="s">
        <v>3631</v>
      </c>
      <c r="V397" s="141">
        <v>145525</v>
      </c>
      <c r="W397" s="337"/>
    </row>
    <row r="398" spans="19:23" ht="12.75">
      <c r="S398" s="140"/>
      <c r="T398" s="47" t="s">
        <v>951</v>
      </c>
      <c r="U398" s="47" t="s">
        <v>952</v>
      </c>
      <c r="V398" s="141">
        <v>235504</v>
      </c>
      <c r="W398" s="139"/>
    </row>
    <row r="399" spans="19:23" ht="12.75">
      <c r="S399" s="140"/>
      <c r="T399" s="47" t="s">
        <v>953</v>
      </c>
      <c r="U399" s="47" t="s">
        <v>954</v>
      </c>
      <c r="V399" s="141">
        <v>115695</v>
      </c>
      <c r="W399" s="139"/>
    </row>
    <row r="400" spans="19:23" ht="12.75">
      <c r="S400" s="140"/>
      <c r="T400" s="47" t="s">
        <v>955</v>
      </c>
      <c r="U400" s="47" t="s">
        <v>956</v>
      </c>
      <c r="V400" s="141">
        <v>121326</v>
      </c>
      <c r="W400" s="139"/>
    </row>
    <row r="401" spans="19:23" ht="12.75">
      <c r="S401" s="140"/>
      <c r="T401" s="47" t="s">
        <v>957</v>
      </c>
      <c r="U401" s="47" t="s">
        <v>958</v>
      </c>
      <c r="V401" s="141">
        <v>128543</v>
      </c>
      <c r="W401" s="139"/>
    </row>
    <row r="402" spans="19:23" ht="12.75">
      <c r="S402" s="140"/>
      <c r="T402" s="47" t="s">
        <v>959</v>
      </c>
      <c r="U402" s="47" t="s">
        <v>960</v>
      </c>
      <c r="V402" s="141">
        <v>145536</v>
      </c>
      <c r="W402" s="139"/>
    </row>
    <row r="403" spans="19:23" ht="12.75">
      <c r="S403" s="140"/>
      <c r="T403" s="47" t="s">
        <v>961</v>
      </c>
      <c r="U403" s="47" t="s">
        <v>962</v>
      </c>
      <c r="V403" s="141">
        <v>152751</v>
      </c>
      <c r="W403" s="139"/>
    </row>
    <row r="404" spans="19:23" ht="12.75">
      <c r="S404" s="140"/>
      <c r="T404" s="47" t="s">
        <v>963</v>
      </c>
      <c r="U404" s="47" t="s">
        <v>964</v>
      </c>
      <c r="V404" s="141">
        <v>242731</v>
      </c>
      <c r="W404" s="139"/>
    </row>
    <row r="405" spans="19:23" ht="12.75">
      <c r="S405" s="140"/>
      <c r="T405" s="47" t="s">
        <v>2342</v>
      </c>
      <c r="U405" s="47" t="s">
        <v>4123</v>
      </c>
      <c r="V405" s="141">
        <v>31027</v>
      </c>
      <c r="W405" s="337"/>
    </row>
    <row r="406" spans="19:23" ht="12.75">
      <c r="S406" s="140"/>
      <c r="T406" s="47" t="s">
        <v>2343</v>
      </c>
      <c r="U406" s="47" t="s">
        <v>4124</v>
      </c>
      <c r="V406" s="141">
        <v>38621</v>
      </c>
      <c r="W406" s="337"/>
    </row>
    <row r="407" spans="19:23" ht="12.75">
      <c r="S407" s="140"/>
      <c r="T407" s="47" t="s">
        <v>2340</v>
      </c>
      <c r="U407" s="47" t="s">
        <v>4121</v>
      </c>
      <c r="V407" s="141">
        <v>44908</v>
      </c>
      <c r="W407" s="337"/>
    </row>
    <row r="408" spans="19:23" ht="12.75">
      <c r="S408" s="140"/>
      <c r="T408" s="47" t="s">
        <v>2341</v>
      </c>
      <c r="U408" s="47" t="s">
        <v>4122</v>
      </c>
      <c r="V408" s="141">
        <v>31027</v>
      </c>
      <c r="W408" s="337"/>
    </row>
    <row r="409" spans="19:23" ht="12.75">
      <c r="S409" s="140"/>
      <c r="T409" s="47" t="s">
        <v>1799</v>
      </c>
      <c r="U409" s="47" t="s">
        <v>4197</v>
      </c>
      <c r="V409" s="141">
        <v>34825</v>
      </c>
      <c r="W409" s="139"/>
    </row>
    <row r="410" spans="19:23" ht="12.75">
      <c r="S410" s="140"/>
      <c r="T410" s="47" t="s">
        <v>1800</v>
      </c>
      <c r="U410" s="47" t="s">
        <v>4198</v>
      </c>
      <c r="V410" s="141">
        <v>26996</v>
      </c>
      <c r="W410" s="139"/>
    </row>
    <row r="411" spans="19:23" ht="12.75">
      <c r="S411" s="140"/>
      <c r="T411" s="47" t="s">
        <v>1801</v>
      </c>
      <c r="U411" s="47" t="s">
        <v>4199</v>
      </c>
      <c r="V411" s="141">
        <v>29303</v>
      </c>
      <c r="W411" s="139"/>
    </row>
    <row r="412" spans="19:23" ht="12.75">
      <c r="S412" s="140"/>
      <c r="T412" s="47" t="s">
        <v>1802</v>
      </c>
      <c r="U412" s="47" t="s">
        <v>4200</v>
      </c>
      <c r="V412" s="141">
        <v>37968</v>
      </c>
      <c r="W412" s="139"/>
    </row>
    <row r="413" spans="19:23" ht="12.75">
      <c r="S413" s="140"/>
      <c r="T413" s="47" t="s">
        <v>1803</v>
      </c>
      <c r="U413" s="47" t="s">
        <v>4201</v>
      </c>
      <c r="V413" s="141">
        <v>24138</v>
      </c>
      <c r="W413" s="139"/>
    </row>
    <row r="414" spans="19:23" ht="12.75">
      <c r="S414" s="140"/>
      <c r="T414" s="47" t="s">
        <v>1804</v>
      </c>
      <c r="U414" s="47" t="s">
        <v>4202</v>
      </c>
      <c r="V414" s="141">
        <v>31027</v>
      </c>
      <c r="W414" s="139"/>
    </row>
    <row r="415" spans="19:23" ht="12.75">
      <c r="S415" s="140"/>
      <c r="T415" s="47" t="s">
        <v>1805</v>
      </c>
      <c r="U415" s="47" t="s">
        <v>4203</v>
      </c>
      <c r="V415" s="141">
        <v>26996</v>
      </c>
      <c r="W415" s="139"/>
    </row>
    <row r="416" spans="19:23" ht="12.75">
      <c r="S416" s="140"/>
      <c r="T416" s="47" t="s">
        <v>1806</v>
      </c>
      <c r="U416" s="47" t="s">
        <v>4204</v>
      </c>
      <c r="V416" s="141">
        <v>34825</v>
      </c>
      <c r="W416" s="139"/>
    </row>
    <row r="417" spans="19:23" ht="12.75">
      <c r="S417" s="140"/>
      <c r="T417" s="47" t="s">
        <v>1797</v>
      </c>
      <c r="U417" s="47" t="s">
        <v>4195</v>
      </c>
      <c r="V417" s="141">
        <v>32159</v>
      </c>
      <c r="W417" s="139"/>
    </row>
    <row r="418" spans="19:23" ht="12.75">
      <c r="S418" s="140"/>
      <c r="T418" s="47" t="s">
        <v>1820</v>
      </c>
      <c r="U418" s="47" t="s">
        <v>4218</v>
      </c>
      <c r="V418" s="141">
        <v>41765</v>
      </c>
      <c r="W418" s="139"/>
    </row>
    <row r="419" spans="19:23" ht="12.75">
      <c r="S419" s="140"/>
      <c r="T419" s="47" t="s">
        <v>1808</v>
      </c>
      <c r="U419" s="47" t="s">
        <v>4206</v>
      </c>
      <c r="V419" s="141">
        <v>26996</v>
      </c>
      <c r="W419" s="139"/>
    </row>
    <row r="420" spans="19:23" ht="12.75">
      <c r="S420" s="140"/>
      <c r="T420" s="47" t="s">
        <v>1809</v>
      </c>
      <c r="U420" s="47" t="s">
        <v>4207</v>
      </c>
      <c r="V420" s="141">
        <v>34825</v>
      </c>
      <c r="W420" s="139"/>
    </row>
    <row r="421" spans="19:23" ht="12.75">
      <c r="S421" s="140"/>
      <c r="T421" s="47" t="s">
        <v>1798</v>
      </c>
      <c r="U421" s="47" t="s">
        <v>4196</v>
      </c>
      <c r="V421" s="141">
        <v>29303</v>
      </c>
      <c r="W421" s="139"/>
    </row>
    <row r="422" spans="19:23" ht="12.75">
      <c r="S422" s="140"/>
      <c r="T422" s="47" t="s">
        <v>1811</v>
      </c>
      <c r="U422" s="47" t="s">
        <v>4209</v>
      </c>
      <c r="V422" s="141">
        <v>37968</v>
      </c>
      <c r="W422" s="139"/>
    </row>
    <row r="423" spans="19:23" ht="12.75">
      <c r="S423" s="140"/>
      <c r="T423" s="47" t="s">
        <v>1812</v>
      </c>
      <c r="U423" s="47" t="s">
        <v>4210</v>
      </c>
      <c r="V423" s="141">
        <v>32159</v>
      </c>
      <c r="W423" s="139"/>
    </row>
    <row r="424" spans="19:23" ht="12.75">
      <c r="S424" s="140"/>
      <c r="T424" s="47" t="s">
        <v>1813</v>
      </c>
      <c r="U424" s="47" t="s">
        <v>4211</v>
      </c>
      <c r="V424" s="141">
        <v>41765</v>
      </c>
      <c r="W424" s="139"/>
    </row>
    <row r="425" spans="19:23" ht="12.75">
      <c r="S425" s="140"/>
      <c r="T425" s="47" t="s">
        <v>1807</v>
      </c>
      <c r="U425" s="47" t="s">
        <v>4205</v>
      </c>
      <c r="V425" s="141">
        <v>29303</v>
      </c>
      <c r="W425" s="139"/>
    </row>
    <row r="426" spans="19:23" ht="12.75">
      <c r="S426" s="140"/>
      <c r="T426" s="47" t="s">
        <v>1814</v>
      </c>
      <c r="U426" s="47" t="s">
        <v>4212</v>
      </c>
      <c r="V426" s="141">
        <v>37968</v>
      </c>
      <c r="W426" s="139"/>
    </row>
    <row r="427" spans="19:23" ht="12.75">
      <c r="S427" s="140"/>
      <c r="T427" s="47" t="s">
        <v>1815</v>
      </c>
      <c r="U427" s="47" t="s">
        <v>4213</v>
      </c>
      <c r="V427" s="141">
        <v>24138</v>
      </c>
      <c r="W427" s="139"/>
    </row>
    <row r="428" spans="19:23" ht="12.75">
      <c r="S428" s="140"/>
      <c r="T428" s="47" t="s">
        <v>1816</v>
      </c>
      <c r="U428" s="47" t="s">
        <v>4214</v>
      </c>
      <c r="V428" s="141">
        <v>31027</v>
      </c>
      <c r="W428" s="139"/>
    </row>
    <row r="429" spans="19:23" ht="12.75">
      <c r="S429" s="140"/>
      <c r="T429" s="47" t="s">
        <v>1817</v>
      </c>
      <c r="U429" s="47" t="s">
        <v>4215</v>
      </c>
      <c r="V429" s="141">
        <v>26996</v>
      </c>
      <c r="W429" s="139"/>
    </row>
    <row r="430" spans="19:23" ht="12.75">
      <c r="S430" s="140"/>
      <c r="T430" s="47" t="s">
        <v>1818</v>
      </c>
      <c r="U430" s="47" t="s">
        <v>4216</v>
      </c>
      <c r="V430" s="141">
        <v>34825</v>
      </c>
      <c r="W430" s="139"/>
    </row>
    <row r="431" spans="19:23" ht="12.75">
      <c r="S431" s="140"/>
      <c r="T431" s="47" t="s">
        <v>1819</v>
      </c>
      <c r="U431" s="47" t="s">
        <v>4217</v>
      </c>
      <c r="V431" s="141">
        <v>29303</v>
      </c>
      <c r="W431" s="139"/>
    </row>
    <row r="432" spans="19:23" ht="12.75">
      <c r="S432" s="140"/>
      <c r="T432" s="47" t="s">
        <v>1810</v>
      </c>
      <c r="U432" s="47" t="s">
        <v>4208</v>
      </c>
      <c r="V432" s="141">
        <v>37968</v>
      </c>
      <c r="W432" s="139"/>
    </row>
    <row r="433" spans="19:23" ht="12.75">
      <c r="S433" s="140"/>
      <c r="T433" s="47" t="s">
        <v>4825</v>
      </c>
      <c r="U433" s="47" t="s">
        <v>3635</v>
      </c>
      <c r="V433" s="141">
        <v>91737</v>
      </c>
      <c r="W433" s="337"/>
    </row>
    <row r="434" spans="19:23" ht="12.75">
      <c r="S434" s="140"/>
      <c r="T434" s="47" t="s">
        <v>4831</v>
      </c>
      <c r="U434" s="47" t="s">
        <v>3641</v>
      </c>
      <c r="V434" s="141">
        <v>97367</v>
      </c>
      <c r="W434" s="337"/>
    </row>
    <row r="435" spans="19:23" ht="12.75">
      <c r="S435" s="140"/>
      <c r="T435" s="47" t="s">
        <v>4828</v>
      </c>
      <c r="U435" s="47" t="s">
        <v>3638</v>
      </c>
      <c r="V435" s="141">
        <v>104586</v>
      </c>
      <c r="W435" s="337"/>
    </row>
    <row r="436" spans="19:23" ht="12.75">
      <c r="S436" s="140"/>
      <c r="T436" s="47" t="s">
        <v>4837</v>
      </c>
      <c r="U436" s="47" t="s">
        <v>3647</v>
      </c>
      <c r="V436" s="141">
        <v>121576</v>
      </c>
      <c r="W436" s="337"/>
    </row>
    <row r="437" spans="19:23" ht="12.75">
      <c r="S437" s="140"/>
      <c r="T437" s="47" t="s">
        <v>4834</v>
      </c>
      <c r="U437" s="47" t="s">
        <v>3644</v>
      </c>
      <c r="V437" s="141">
        <v>128794</v>
      </c>
      <c r="W437" s="337"/>
    </row>
    <row r="438" spans="19:23" ht="12.75">
      <c r="S438" s="140"/>
      <c r="T438" s="47" t="s">
        <v>965</v>
      </c>
      <c r="U438" s="47" t="s">
        <v>966</v>
      </c>
      <c r="V438" s="141">
        <v>218773</v>
      </c>
      <c r="W438" s="139"/>
    </row>
    <row r="439" spans="19:23" ht="12.75">
      <c r="S439" s="140"/>
      <c r="T439" s="47" t="s">
        <v>4826</v>
      </c>
      <c r="U439" s="47" t="s">
        <v>3636</v>
      </c>
      <c r="V439" s="141">
        <v>97451</v>
      </c>
      <c r="W439" s="337"/>
    </row>
    <row r="440" spans="19:23" ht="12.75">
      <c r="S440" s="140"/>
      <c r="T440" s="47" t="s">
        <v>4832</v>
      </c>
      <c r="U440" s="47" t="s">
        <v>3642</v>
      </c>
      <c r="V440" s="141">
        <v>103082</v>
      </c>
      <c r="W440" s="337"/>
    </row>
    <row r="441" spans="19:23" ht="12.75">
      <c r="S441" s="140"/>
      <c r="T441" s="47" t="s">
        <v>4829</v>
      </c>
      <c r="U441" s="47" t="s">
        <v>3639</v>
      </c>
      <c r="V441" s="141">
        <v>110301</v>
      </c>
      <c r="W441" s="337"/>
    </row>
    <row r="442" spans="19:23" ht="12.75">
      <c r="S442" s="140"/>
      <c r="T442" s="47" t="s">
        <v>4838</v>
      </c>
      <c r="U442" s="47" t="s">
        <v>3648</v>
      </c>
      <c r="V442" s="141">
        <v>127292</v>
      </c>
      <c r="W442" s="337"/>
    </row>
    <row r="443" spans="19:23" ht="12.75">
      <c r="S443" s="140"/>
      <c r="T443" s="47" t="s">
        <v>4835</v>
      </c>
      <c r="U443" s="47" t="s">
        <v>3645</v>
      </c>
      <c r="V443" s="141">
        <v>134509</v>
      </c>
      <c r="W443" s="337"/>
    </row>
    <row r="444" spans="19:23" ht="12.75">
      <c r="S444" s="140"/>
      <c r="T444" s="47" t="s">
        <v>4824</v>
      </c>
      <c r="U444" s="47" t="s">
        <v>3633</v>
      </c>
      <c r="V444" s="141">
        <v>103903</v>
      </c>
      <c r="W444" s="337"/>
    </row>
    <row r="445" spans="19:23" ht="12.75">
      <c r="S445" s="140"/>
      <c r="T445" s="47" t="s">
        <v>4830</v>
      </c>
      <c r="U445" s="47" t="s">
        <v>3640</v>
      </c>
      <c r="V445" s="141">
        <v>109533</v>
      </c>
      <c r="W445" s="337"/>
    </row>
    <row r="446" spans="19:23" ht="12.75">
      <c r="S446" s="140"/>
      <c r="T446" s="47" t="s">
        <v>4827</v>
      </c>
      <c r="U446" s="47" t="s">
        <v>3637</v>
      </c>
      <c r="V446" s="141">
        <v>116750</v>
      </c>
      <c r="W446" s="337"/>
    </row>
    <row r="447" spans="19:23" ht="12.75">
      <c r="S447" s="140"/>
      <c r="T447" s="47" t="s">
        <v>4836</v>
      </c>
      <c r="U447" s="47" t="s">
        <v>3646</v>
      </c>
      <c r="V447" s="141">
        <v>133741</v>
      </c>
      <c r="W447" s="337"/>
    </row>
    <row r="448" spans="19:23" ht="12.75">
      <c r="S448" s="140"/>
      <c r="T448" s="47" t="s">
        <v>4833</v>
      </c>
      <c r="U448" s="47" t="s">
        <v>3643</v>
      </c>
      <c r="V448" s="141">
        <v>140960</v>
      </c>
      <c r="W448" s="337"/>
    </row>
    <row r="449" spans="19:23" ht="12.75">
      <c r="S449" s="140"/>
      <c r="T449" s="47" t="s">
        <v>4840</v>
      </c>
      <c r="U449" s="47" t="s">
        <v>3652</v>
      </c>
      <c r="V449" s="141">
        <v>127600</v>
      </c>
      <c r="W449" s="139"/>
    </row>
    <row r="450" spans="19:23" ht="12.75">
      <c r="S450" s="140"/>
      <c r="T450" s="47" t="s">
        <v>4848</v>
      </c>
      <c r="U450" s="47" t="s">
        <v>3660</v>
      </c>
      <c r="V450" s="141">
        <v>133233</v>
      </c>
      <c r="W450" s="139"/>
    </row>
    <row r="451" spans="19:23" ht="12.75">
      <c r="S451" s="140"/>
      <c r="T451" s="47" t="s">
        <v>4849</v>
      </c>
      <c r="U451" s="47" t="s">
        <v>3661</v>
      </c>
      <c r="V451" s="141">
        <v>133233</v>
      </c>
      <c r="W451" s="337"/>
    </row>
    <row r="452" spans="19:23" ht="12.75">
      <c r="S452" s="140"/>
      <c r="T452" s="47" t="s">
        <v>4850</v>
      </c>
      <c r="U452" s="47" t="s">
        <v>3662</v>
      </c>
      <c r="V452" s="141">
        <v>133233</v>
      </c>
      <c r="W452" s="139"/>
    </row>
    <row r="453" spans="19:23" ht="12.75">
      <c r="S453" s="140"/>
      <c r="T453" s="47" t="s">
        <v>4846</v>
      </c>
      <c r="U453" s="47" t="s">
        <v>3658</v>
      </c>
      <c r="V453" s="141">
        <v>133230</v>
      </c>
      <c r="W453" s="139"/>
    </row>
    <row r="454" spans="19:23" ht="12.75">
      <c r="S454" s="140"/>
      <c r="T454" s="47" t="s">
        <v>4843</v>
      </c>
      <c r="U454" s="47" t="s">
        <v>3655</v>
      </c>
      <c r="V454" s="141">
        <v>140448</v>
      </c>
      <c r="W454" s="139"/>
    </row>
    <row r="455" spans="19:23" ht="12.75">
      <c r="S455" s="140"/>
      <c r="T455" s="47" t="s">
        <v>4855</v>
      </c>
      <c r="U455" s="47" t="s">
        <v>3667</v>
      </c>
      <c r="V455" s="141">
        <v>157440</v>
      </c>
      <c r="W455" s="139"/>
    </row>
    <row r="456" spans="19:23" ht="12.75">
      <c r="S456" s="140"/>
      <c r="T456" s="47" t="s">
        <v>4852</v>
      </c>
      <c r="U456" s="47" t="s">
        <v>3664</v>
      </c>
      <c r="V456" s="141">
        <v>164657</v>
      </c>
      <c r="W456" s="139"/>
    </row>
    <row r="457" spans="19:23" ht="12.75">
      <c r="S457" s="140"/>
      <c r="T457" s="47" t="s">
        <v>967</v>
      </c>
      <c r="U457" s="47" t="s">
        <v>968</v>
      </c>
      <c r="V457" s="141">
        <v>254637</v>
      </c>
      <c r="W457" s="139"/>
    </row>
    <row r="458" spans="19:23" ht="12.75">
      <c r="S458" s="140"/>
      <c r="T458" s="47" t="s">
        <v>4841</v>
      </c>
      <c r="U458" s="47" t="s">
        <v>3653</v>
      </c>
      <c r="V458" s="141">
        <v>133316</v>
      </c>
      <c r="W458" s="337"/>
    </row>
    <row r="459" spans="19:23" ht="12.75">
      <c r="S459" s="140"/>
      <c r="T459" s="47" t="s">
        <v>4847</v>
      </c>
      <c r="U459" s="47" t="s">
        <v>3659</v>
      </c>
      <c r="V459" s="141">
        <v>138946</v>
      </c>
      <c r="W459" s="337"/>
    </row>
    <row r="460" spans="19:23" ht="12.75">
      <c r="S460" s="140"/>
      <c r="T460" s="47" t="s">
        <v>4844</v>
      </c>
      <c r="U460" s="47" t="s">
        <v>3656</v>
      </c>
      <c r="V460" s="141">
        <v>146164</v>
      </c>
      <c r="W460" s="337"/>
    </row>
    <row r="461" spans="19:23" ht="12.75">
      <c r="S461" s="140"/>
      <c r="T461" s="47" t="s">
        <v>4856</v>
      </c>
      <c r="U461" s="47" t="s">
        <v>3668</v>
      </c>
      <c r="V461" s="141">
        <v>163155</v>
      </c>
      <c r="W461" s="337"/>
    </row>
    <row r="462" spans="19:23" ht="12.75">
      <c r="S462" s="140"/>
      <c r="T462" s="47" t="s">
        <v>4853</v>
      </c>
      <c r="U462" s="47" t="s">
        <v>3665</v>
      </c>
      <c r="V462" s="141">
        <v>170373</v>
      </c>
      <c r="W462" s="337"/>
    </row>
    <row r="463" spans="19:23" ht="12.75">
      <c r="S463" s="140"/>
      <c r="T463" s="47" t="s">
        <v>4839</v>
      </c>
      <c r="U463" s="47" t="s">
        <v>3649</v>
      </c>
      <c r="V463" s="141">
        <v>139766</v>
      </c>
      <c r="W463" s="337"/>
    </row>
    <row r="464" spans="19:23" ht="12.75">
      <c r="S464" s="140"/>
      <c r="T464" s="47" t="s">
        <v>4845</v>
      </c>
      <c r="U464" s="47" t="s">
        <v>3657</v>
      </c>
      <c r="V464" s="141">
        <v>145396</v>
      </c>
      <c r="W464" s="337"/>
    </row>
    <row r="465" spans="19:23" ht="12.75">
      <c r="S465" s="140"/>
      <c r="T465" s="47" t="s">
        <v>4842</v>
      </c>
      <c r="U465" s="47" t="s">
        <v>3654</v>
      </c>
      <c r="V465" s="141">
        <v>152615</v>
      </c>
      <c r="W465" s="337"/>
    </row>
    <row r="466" spans="19:23" ht="12.75">
      <c r="S466" s="140"/>
      <c r="T466" s="47" t="s">
        <v>4854</v>
      </c>
      <c r="U466" s="47" t="s">
        <v>3666</v>
      </c>
      <c r="V466" s="141">
        <v>169606</v>
      </c>
      <c r="W466" s="337"/>
    </row>
    <row r="467" spans="19:23" ht="12.75">
      <c r="S467" s="140"/>
      <c r="T467" s="47" t="s">
        <v>4851</v>
      </c>
      <c r="U467" s="47" t="s">
        <v>3663</v>
      </c>
      <c r="V467" s="141">
        <v>176823</v>
      </c>
      <c r="W467" s="337"/>
    </row>
    <row r="468" spans="19:23" ht="12.75">
      <c r="S468" s="140"/>
      <c r="T468" s="47" t="s">
        <v>4858</v>
      </c>
      <c r="U468" s="47" t="s">
        <v>3671</v>
      </c>
      <c r="V468" s="141">
        <v>96255</v>
      </c>
      <c r="W468" s="337"/>
    </row>
    <row r="469" spans="19:23" ht="12.75">
      <c r="S469" s="140"/>
      <c r="T469" s="47" t="s">
        <v>4864</v>
      </c>
      <c r="U469" s="47" t="s">
        <v>3677</v>
      </c>
      <c r="V469" s="141">
        <v>101886</v>
      </c>
      <c r="W469" s="337"/>
    </row>
    <row r="470" spans="19:23" ht="12.75">
      <c r="S470" s="140"/>
      <c r="T470" s="47" t="s">
        <v>4861</v>
      </c>
      <c r="U470" s="47" t="s">
        <v>3674</v>
      </c>
      <c r="V470" s="141">
        <v>109104</v>
      </c>
      <c r="W470" s="337"/>
    </row>
    <row r="471" spans="19:23" ht="12.75">
      <c r="S471" s="140"/>
      <c r="T471" s="47" t="s">
        <v>4870</v>
      </c>
      <c r="U471" s="47" t="s">
        <v>3683</v>
      </c>
      <c r="V471" s="141">
        <v>126096</v>
      </c>
      <c r="W471" s="337"/>
    </row>
    <row r="472" spans="19:23" ht="12.75">
      <c r="S472" s="140"/>
      <c r="T472" s="47" t="s">
        <v>4867</v>
      </c>
      <c r="U472" s="47" t="s">
        <v>3680</v>
      </c>
      <c r="V472" s="141">
        <v>133313</v>
      </c>
      <c r="W472" s="337"/>
    </row>
    <row r="473" spans="19:23" ht="12.75">
      <c r="S473" s="140"/>
      <c r="T473" s="47" t="s">
        <v>969</v>
      </c>
      <c r="U473" s="47" t="s">
        <v>970</v>
      </c>
      <c r="V473" s="141">
        <v>223292</v>
      </c>
      <c r="W473" s="139"/>
    </row>
    <row r="474" spans="19:23" ht="12.75">
      <c r="S474" s="140"/>
      <c r="T474" s="47" t="s">
        <v>4859</v>
      </c>
      <c r="U474" s="47" t="s">
        <v>3672</v>
      </c>
      <c r="V474" s="141">
        <v>101971</v>
      </c>
      <c r="W474" s="337"/>
    </row>
    <row r="475" spans="19:23" ht="12.75">
      <c r="S475" s="140"/>
      <c r="T475" s="47" t="s">
        <v>4865</v>
      </c>
      <c r="U475" s="47" t="s">
        <v>3678</v>
      </c>
      <c r="V475" s="141">
        <v>107602</v>
      </c>
      <c r="W475" s="337"/>
    </row>
    <row r="476" spans="19:23" ht="12.75">
      <c r="S476" s="140"/>
      <c r="T476" s="47" t="s">
        <v>4862</v>
      </c>
      <c r="U476" s="47" t="s">
        <v>3675</v>
      </c>
      <c r="V476" s="141">
        <v>114820</v>
      </c>
      <c r="W476" s="337"/>
    </row>
    <row r="477" spans="19:23" ht="12.75">
      <c r="S477" s="140"/>
      <c r="T477" s="47" t="s">
        <v>4871</v>
      </c>
      <c r="U477" s="47" t="s">
        <v>3684</v>
      </c>
      <c r="V477" s="141">
        <v>131811</v>
      </c>
      <c r="W477" s="337"/>
    </row>
    <row r="478" spans="19:23" ht="12.75">
      <c r="S478" s="140"/>
      <c r="T478" s="47" t="s">
        <v>4868</v>
      </c>
      <c r="U478" s="47" t="s">
        <v>3681</v>
      </c>
      <c r="V478" s="141">
        <v>139029</v>
      </c>
      <c r="W478" s="337"/>
    </row>
    <row r="479" spans="19:23" ht="12.75">
      <c r="S479" s="140"/>
      <c r="T479" s="47" t="s">
        <v>4857</v>
      </c>
      <c r="U479" s="47" t="s">
        <v>3669</v>
      </c>
      <c r="V479" s="141">
        <v>108422</v>
      </c>
      <c r="W479" s="337"/>
    </row>
    <row r="480" spans="19:23" ht="12.75">
      <c r="S480" s="140"/>
      <c r="T480" s="47" t="s">
        <v>4863</v>
      </c>
      <c r="U480" s="47" t="s">
        <v>3676</v>
      </c>
      <c r="V480" s="141">
        <v>114052</v>
      </c>
      <c r="W480" s="337"/>
    </row>
    <row r="481" spans="19:23" ht="12.75">
      <c r="S481" s="140"/>
      <c r="T481" s="47" t="s">
        <v>4860</v>
      </c>
      <c r="U481" s="47" t="s">
        <v>3673</v>
      </c>
      <c r="V481" s="141">
        <v>121270</v>
      </c>
      <c r="W481" s="337"/>
    </row>
    <row r="482" spans="19:23" ht="12.75">
      <c r="S482" s="140"/>
      <c r="T482" s="47" t="s">
        <v>4869</v>
      </c>
      <c r="U482" s="47" t="s">
        <v>3682</v>
      </c>
      <c r="V482" s="141">
        <v>138260</v>
      </c>
      <c r="W482" s="337"/>
    </row>
    <row r="483" spans="19:23" ht="12.75">
      <c r="S483" s="140"/>
      <c r="T483" s="47" t="s">
        <v>4866</v>
      </c>
      <c r="U483" s="47" t="s">
        <v>3679</v>
      </c>
      <c r="V483" s="141">
        <v>145478</v>
      </c>
      <c r="W483" s="337"/>
    </row>
    <row r="484" spans="19:23" ht="12.75">
      <c r="S484" s="140"/>
      <c r="T484" s="47" t="s">
        <v>4873</v>
      </c>
      <c r="U484" s="47" t="s">
        <v>3686</v>
      </c>
      <c r="V484" s="141">
        <v>111359</v>
      </c>
      <c r="W484" s="337"/>
    </row>
    <row r="485" spans="19:23" ht="12.75">
      <c r="S485" s="140"/>
      <c r="T485" s="47" t="s">
        <v>3146</v>
      </c>
      <c r="U485" s="47" t="s">
        <v>3692</v>
      </c>
      <c r="V485" s="141">
        <v>116989</v>
      </c>
      <c r="W485" s="337"/>
    </row>
    <row r="486" spans="19:23" ht="12.75">
      <c r="S486" s="140"/>
      <c r="T486" s="47" t="s">
        <v>3143</v>
      </c>
      <c r="U486" s="47" t="s">
        <v>3689</v>
      </c>
      <c r="V486" s="141">
        <v>124207</v>
      </c>
      <c r="W486" s="337"/>
    </row>
    <row r="487" spans="19:23" ht="12.75">
      <c r="S487" s="140"/>
      <c r="T487" s="47" t="s">
        <v>3791</v>
      </c>
      <c r="U487" s="47" t="s">
        <v>732</v>
      </c>
      <c r="V487" s="141">
        <v>141199</v>
      </c>
      <c r="W487" s="337"/>
    </row>
    <row r="488" spans="19:23" ht="12.75">
      <c r="S488" s="140"/>
      <c r="T488" s="47" t="s">
        <v>3788</v>
      </c>
      <c r="U488" s="47" t="s">
        <v>729</v>
      </c>
      <c r="V488" s="141">
        <v>148417</v>
      </c>
      <c r="W488" s="337"/>
    </row>
    <row r="489" spans="19:23" ht="12.75">
      <c r="S489" s="140"/>
      <c r="T489" s="47" t="s">
        <v>971</v>
      </c>
      <c r="U489" s="47" t="s">
        <v>972</v>
      </c>
      <c r="V489" s="141">
        <v>238396</v>
      </c>
      <c r="W489" s="139"/>
    </row>
    <row r="490" spans="19:23" ht="12.75">
      <c r="S490" s="140"/>
      <c r="T490" s="47" t="s">
        <v>3141</v>
      </c>
      <c r="U490" s="47" t="s">
        <v>3687</v>
      </c>
      <c r="V490" s="141">
        <v>117074</v>
      </c>
      <c r="W490" s="337"/>
    </row>
    <row r="491" spans="19:23" ht="12.75">
      <c r="S491" s="140"/>
      <c r="T491" s="47" t="s">
        <v>3786</v>
      </c>
      <c r="U491" s="47" t="s">
        <v>3693</v>
      </c>
      <c r="V491" s="141">
        <v>122704</v>
      </c>
      <c r="W491" s="337"/>
    </row>
    <row r="492" spans="19:23" ht="12.75">
      <c r="S492" s="140"/>
      <c r="T492" s="47" t="s">
        <v>3144</v>
      </c>
      <c r="U492" s="47" t="s">
        <v>3690</v>
      </c>
      <c r="V492" s="141">
        <v>129923</v>
      </c>
      <c r="W492" s="337"/>
    </row>
    <row r="493" spans="19:23" ht="12.75">
      <c r="S493" s="140"/>
      <c r="T493" s="47" t="s">
        <v>3792</v>
      </c>
      <c r="U493" s="47" t="s">
        <v>733</v>
      </c>
      <c r="V493" s="141">
        <v>146914</v>
      </c>
      <c r="W493" s="337"/>
    </row>
    <row r="494" spans="19:23" ht="12.75">
      <c r="S494" s="140"/>
      <c r="T494" s="47" t="s">
        <v>3789</v>
      </c>
      <c r="U494" s="47" t="s">
        <v>730</v>
      </c>
      <c r="V494" s="141">
        <v>154131</v>
      </c>
      <c r="W494" s="337"/>
    </row>
    <row r="495" spans="19:23" ht="12.75">
      <c r="S495" s="140"/>
      <c r="T495" s="47" t="s">
        <v>4872</v>
      </c>
      <c r="U495" s="47" t="s">
        <v>3685</v>
      </c>
      <c r="V495" s="141">
        <v>123525</v>
      </c>
      <c r="W495" s="337"/>
    </row>
    <row r="496" spans="19:23" ht="12.75">
      <c r="S496" s="140"/>
      <c r="T496" s="47" t="s">
        <v>3145</v>
      </c>
      <c r="U496" s="47" t="s">
        <v>3691</v>
      </c>
      <c r="V496" s="141">
        <v>129156</v>
      </c>
      <c r="W496" s="337"/>
    </row>
    <row r="497" spans="19:23" ht="12.75">
      <c r="S497" s="140"/>
      <c r="T497" s="47" t="s">
        <v>3142</v>
      </c>
      <c r="U497" s="47" t="s">
        <v>3688</v>
      </c>
      <c r="V497" s="141">
        <v>136372</v>
      </c>
      <c r="W497" s="337"/>
    </row>
    <row r="498" spans="19:23" ht="12.75">
      <c r="S498" s="140"/>
      <c r="T498" s="47" t="s">
        <v>3790</v>
      </c>
      <c r="U498" s="47" t="s">
        <v>731</v>
      </c>
      <c r="V498" s="141">
        <v>153365</v>
      </c>
      <c r="W498" s="337"/>
    </row>
    <row r="499" spans="19:23" ht="12.75">
      <c r="S499" s="140"/>
      <c r="T499" s="47" t="s">
        <v>3787</v>
      </c>
      <c r="U499" s="47" t="s">
        <v>3694</v>
      </c>
      <c r="V499" s="141">
        <v>160583</v>
      </c>
      <c r="W499" s="337"/>
    </row>
    <row r="500" spans="19:23" ht="12.75">
      <c r="S500" s="140"/>
      <c r="T500" s="47" t="s">
        <v>3794</v>
      </c>
      <c r="U500" s="47" t="s">
        <v>735</v>
      </c>
      <c r="V500" s="141">
        <v>160460</v>
      </c>
      <c r="W500" s="337"/>
    </row>
    <row r="501" spans="19:23" ht="12.75">
      <c r="S501" s="140"/>
      <c r="T501" s="47" t="s">
        <v>3800</v>
      </c>
      <c r="U501" s="47" t="s">
        <v>741</v>
      </c>
      <c r="V501" s="141">
        <v>166090</v>
      </c>
      <c r="W501" s="337"/>
    </row>
    <row r="502" spans="19:23" ht="12.75">
      <c r="S502" s="140"/>
      <c r="T502" s="47" t="s">
        <v>3797</v>
      </c>
      <c r="U502" s="47" t="s">
        <v>738</v>
      </c>
      <c r="V502" s="141">
        <v>173307</v>
      </c>
      <c r="W502" s="337"/>
    </row>
    <row r="503" spans="19:23" ht="12.75">
      <c r="S503" s="140"/>
      <c r="T503" s="47" t="s">
        <v>3806</v>
      </c>
      <c r="U503" s="47" t="s">
        <v>4489</v>
      </c>
      <c r="V503" s="141">
        <v>190299</v>
      </c>
      <c r="W503" s="337"/>
    </row>
    <row r="504" spans="19:23" ht="12.75">
      <c r="S504" s="140"/>
      <c r="T504" s="47" t="s">
        <v>3803</v>
      </c>
      <c r="U504" s="47" t="s">
        <v>744</v>
      </c>
      <c r="V504" s="141">
        <v>197516</v>
      </c>
      <c r="W504" s="337"/>
    </row>
    <row r="505" spans="19:23" ht="12.75">
      <c r="S505" s="140"/>
      <c r="T505" s="47" t="s">
        <v>973</v>
      </c>
      <c r="U505" s="47" t="s">
        <v>974</v>
      </c>
      <c r="V505" s="141">
        <v>287496</v>
      </c>
      <c r="W505" s="139"/>
    </row>
    <row r="506" spans="19:23" ht="12.75">
      <c r="S506" s="140"/>
      <c r="T506" s="47" t="s">
        <v>3795</v>
      </c>
      <c r="U506" s="47" t="s">
        <v>736</v>
      </c>
      <c r="V506" s="141">
        <v>166175</v>
      </c>
      <c r="W506" s="337"/>
    </row>
    <row r="507" spans="19:23" ht="12.75">
      <c r="S507" s="140"/>
      <c r="T507" s="47" t="s">
        <v>3801</v>
      </c>
      <c r="U507" s="47" t="s">
        <v>742</v>
      </c>
      <c r="V507" s="141">
        <v>171806</v>
      </c>
      <c r="W507" s="337"/>
    </row>
    <row r="508" spans="19:23" ht="12.75">
      <c r="S508" s="140"/>
      <c r="T508" s="47" t="s">
        <v>3798</v>
      </c>
      <c r="U508" s="47" t="s">
        <v>739</v>
      </c>
      <c r="V508" s="141">
        <v>179022</v>
      </c>
      <c r="W508" s="337"/>
    </row>
    <row r="509" spans="19:23" ht="12.75">
      <c r="S509" s="140"/>
      <c r="T509" s="47" t="s">
        <v>3807</v>
      </c>
      <c r="U509" s="47" t="s">
        <v>4490</v>
      </c>
      <c r="V509" s="141">
        <v>196015</v>
      </c>
      <c r="W509" s="337"/>
    </row>
    <row r="510" spans="19:23" ht="12.75">
      <c r="S510" s="140"/>
      <c r="T510" s="47" t="s">
        <v>3804</v>
      </c>
      <c r="U510" s="47" t="s">
        <v>745</v>
      </c>
      <c r="V510" s="141">
        <v>203231</v>
      </c>
      <c r="W510" s="337"/>
    </row>
    <row r="511" spans="19:23" ht="12.75">
      <c r="S511" s="140"/>
      <c r="T511" s="47" t="s">
        <v>3793</v>
      </c>
      <c r="U511" s="47" t="s">
        <v>734</v>
      </c>
      <c r="V511" s="141">
        <v>172626</v>
      </c>
      <c r="W511" s="337"/>
    </row>
    <row r="512" spans="19:23" ht="12.75">
      <c r="S512" s="140"/>
      <c r="T512" s="47" t="s">
        <v>3799</v>
      </c>
      <c r="U512" s="47" t="s">
        <v>740</v>
      </c>
      <c r="V512" s="141">
        <v>178255</v>
      </c>
      <c r="W512" s="337"/>
    </row>
    <row r="513" spans="19:23" ht="12.75">
      <c r="S513" s="140"/>
      <c r="T513" s="47" t="s">
        <v>3796</v>
      </c>
      <c r="U513" s="47" t="s">
        <v>737</v>
      </c>
      <c r="V513" s="141">
        <v>185474</v>
      </c>
      <c r="W513" s="337"/>
    </row>
    <row r="514" spans="19:23" ht="12.75">
      <c r="S514" s="140"/>
      <c r="T514" s="47" t="s">
        <v>3805</v>
      </c>
      <c r="U514" s="47" t="s">
        <v>4488</v>
      </c>
      <c r="V514" s="141">
        <v>202465</v>
      </c>
      <c r="W514" s="337"/>
    </row>
    <row r="515" spans="19:23" ht="12.75">
      <c r="S515" s="140"/>
      <c r="T515" s="47" t="s">
        <v>3802</v>
      </c>
      <c r="U515" s="47" t="s">
        <v>743</v>
      </c>
      <c r="V515" s="141">
        <v>209682</v>
      </c>
      <c r="W515" s="337"/>
    </row>
    <row r="516" spans="19:23" ht="12.75">
      <c r="S516" s="140"/>
      <c r="T516" s="47" t="s">
        <v>3809</v>
      </c>
      <c r="U516" s="47" t="s">
        <v>4492</v>
      </c>
      <c r="V516" s="141">
        <v>116242</v>
      </c>
      <c r="W516" s="337"/>
    </row>
    <row r="517" spans="19:23" ht="12.75">
      <c r="S517" s="140"/>
      <c r="T517" s="47" t="s">
        <v>3815</v>
      </c>
      <c r="U517" s="47" t="s">
        <v>4486</v>
      </c>
      <c r="V517" s="141">
        <v>121871</v>
      </c>
      <c r="W517" s="337"/>
    </row>
    <row r="518" spans="19:23" ht="12.75">
      <c r="S518" s="140"/>
      <c r="T518" s="47" t="s">
        <v>3812</v>
      </c>
      <c r="U518" s="47" t="s">
        <v>4483</v>
      </c>
      <c r="V518" s="141">
        <v>129089</v>
      </c>
      <c r="W518" s="337"/>
    </row>
    <row r="519" spans="19:23" ht="12.75">
      <c r="S519" s="140"/>
      <c r="T519" s="47" t="s">
        <v>3821</v>
      </c>
      <c r="U519" s="47" t="s">
        <v>1748</v>
      </c>
      <c r="V519" s="141">
        <v>146080</v>
      </c>
      <c r="W519" s="337"/>
    </row>
    <row r="520" spans="19:23" ht="12.75">
      <c r="S520" s="140"/>
      <c r="T520" s="47" t="s">
        <v>3818</v>
      </c>
      <c r="U520" s="47" t="s">
        <v>4904</v>
      </c>
      <c r="V520" s="141">
        <v>153298</v>
      </c>
      <c r="W520" s="337"/>
    </row>
    <row r="521" spans="19:23" ht="12.75">
      <c r="S521" s="140"/>
      <c r="T521" s="47" t="s">
        <v>975</v>
      </c>
      <c r="U521" s="47" t="s">
        <v>976</v>
      </c>
      <c r="V521" s="141">
        <v>243277</v>
      </c>
      <c r="W521" s="139"/>
    </row>
    <row r="522" spans="19:23" ht="12.75">
      <c r="S522" s="140"/>
      <c r="T522" s="47" t="s">
        <v>3810</v>
      </c>
      <c r="U522" s="47" t="s">
        <v>4493</v>
      </c>
      <c r="V522" s="141">
        <v>121957</v>
      </c>
      <c r="W522" s="337"/>
    </row>
    <row r="523" spans="19:23" ht="12.75">
      <c r="S523" s="140"/>
      <c r="T523" s="47" t="s">
        <v>3816</v>
      </c>
      <c r="U523" s="47" t="s">
        <v>4487</v>
      </c>
      <c r="V523" s="141">
        <v>127587</v>
      </c>
      <c r="W523" s="337"/>
    </row>
    <row r="524" spans="19:23" ht="12.75">
      <c r="S524" s="140"/>
      <c r="T524" s="47" t="s">
        <v>3813</v>
      </c>
      <c r="U524" s="47" t="s">
        <v>4484</v>
      </c>
      <c r="V524" s="141">
        <v>134805</v>
      </c>
      <c r="W524" s="337"/>
    </row>
    <row r="525" spans="19:23" ht="12.75">
      <c r="S525" s="140"/>
      <c r="T525" s="47" t="s">
        <v>3822</v>
      </c>
      <c r="U525" s="47" t="s">
        <v>1749</v>
      </c>
      <c r="V525" s="141">
        <v>151798</v>
      </c>
      <c r="W525" s="337"/>
    </row>
    <row r="526" spans="19:23" ht="12.75">
      <c r="S526" s="140"/>
      <c r="T526" s="47" t="s">
        <v>3819</v>
      </c>
      <c r="U526" s="47" t="s">
        <v>4905</v>
      </c>
      <c r="V526" s="141">
        <v>159014</v>
      </c>
      <c r="W526" s="337"/>
    </row>
    <row r="527" spans="19:23" ht="12.75">
      <c r="S527" s="140"/>
      <c r="T527" s="47" t="s">
        <v>3808</v>
      </c>
      <c r="U527" s="47" t="s">
        <v>4491</v>
      </c>
      <c r="V527" s="141">
        <v>128408</v>
      </c>
      <c r="W527" s="337"/>
    </row>
    <row r="528" spans="19:23" ht="12.75">
      <c r="S528" s="140"/>
      <c r="T528" s="47" t="s">
        <v>3814</v>
      </c>
      <c r="U528" s="47" t="s">
        <v>4485</v>
      </c>
      <c r="V528" s="141">
        <v>134038</v>
      </c>
      <c r="W528" s="337"/>
    </row>
    <row r="529" spans="19:23" ht="12.75">
      <c r="S529" s="140"/>
      <c r="T529" s="47" t="s">
        <v>3811</v>
      </c>
      <c r="U529" s="47" t="s">
        <v>4482</v>
      </c>
      <c r="V529" s="141">
        <v>141256</v>
      </c>
      <c r="W529" s="337"/>
    </row>
    <row r="530" spans="19:23" ht="12.75">
      <c r="S530" s="140"/>
      <c r="T530" s="47" t="s">
        <v>3820</v>
      </c>
      <c r="U530" s="47" t="s">
        <v>4906</v>
      </c>
      <c r="V530" s="141">
        <v>158246</v>
      </c>
      <c r="W530" s="337"/>
    </row>
    <row r="531" spans="19:23" ht="12.75">
      <c r="S531" s="140"/>
      <c r="T531" s="47" t="s">
        <v>3817</v>
      </c>
      <c r="U531" s="47" t="s">
        <v>4903</v>
      </c>
      <c r="V531" s="141">
        <v>165466</v>
      </c>
      <c r="W531" s="337"/>
    </row>
    <row r="532" spans="19:23" ht="12.75">
      <c r="S532" s="140"/>
      <c r="T532" s="47" t="s">
        <v>581</v>
      </c>
      <c r="U532" s="47" t="s">
        <v>3453</v>
      </c>
      <c r="V532" s="141">
        <v>115533</v>
      </c>
      <c r="W532" s="337"/>
    </row>
    <row r="533" spans="19:23" ht="12.75">
      <c r="S533" s="140"/>
      <c r="T533" s="47" t="s">
        <v>587</v>
      </c>
      <c r="U533" s="47" t="s">
        <v>3495</v>
      </c>
      <c r="V533" s="141">
        <v>121164</v>
      </c>
      <c r="W533" s="337"/>
    </row>
    <row r="534" spans="19:23" ht="12.75">
      <c r="S534" s="140"/>
      <c r="T534" s="47" t="s">
        <v>584</v>
      </c>
      <c r="U534" s="47" t="s">
        <v>4951</v>
      </c>
      <c r="V534" s="141">
        <v>128380</v>
      </c>
      <c r="W534" s="337"/>
    </row>
    <row r="535" spans="19:23" ht="12.75">
      <c r="S535" s="140"/>
      <c r="T535" s="47" t="s">
        <v>593</v>
      </c>
      <c r="U535" s="47" t="s">
        <v>3501</v>
      </c>
      <c r="V535" s="141">
        <v>145373</v>
      </c>
      <c r="W535" s="337"/>
    </row>
    <row r="536" spans="19:23" ht="12.75">
      <c r="S536" s="140"/>
      <c r="T536" s="47" t="s">
        <v>590</v>
      </c>
      <c r="U536" s="47" t="s">
        <v>3498</v>
      </c>
      <c r="V536" s="141">
        <v>152589</v>
      </c>
      <c r="W536" s="337"/>
    </row>
    <row r="537" spans="19:23" ht="12.75">
      <c r="S537" s="140"/>
      <c r="T537" s="47" t="s">
        <v>977</v>
      </c>
      <c r="U537" s="47" t="s">
        <v>978</v>
      </c>
      <c r="V537" s="141">
        <v>242568</v>
      </c>
      <c r="W537" s="139"/>
    </row>
    <row r="538" spans="19:23" ht="12.75">
      <c r="S538" s="140"/>
      <c r="T538" s="47" t="s">
        <v>582</v>
      </c>
      <c r="U538" s="47" t="s">
        <v>3454</v>
      </c>
      <c r="V538" s="141">
        <v>121248</v>
      </c>
      <c r="W538" s="337"/>
    </row>
    <row r="539" spans="19:23" ht="12.75">
      <c r="S539" s="140"/>
      <c r="T539" s="47" t="s">
        <v>588</v>
      </c>
      <c r="U539" s="47" t="s">
        <v>3496</v>
      </c>
      <c r="V539" s="141">
        <v>126878</v>
      </c>
      <c r="W539" s="337"/>
    </row>
    <row r="540" spans="19:23" ht="12.75">
      <c r="S540" s="140"/>
      <c r="T540" s="47" t="s">
        <v>585</v>
      </c>
      <c r="U540" s="47" t="s">
        <v>4952</v>
      </c>
      <c r="V540" s="141">
        <v>134096</v>
      </c>
      <c r="W540" s="337"/>
    </row>
    <row r="541" spans="19:23" ht="12.75">
      <c r="S541" s="140"/>
      <c r="T541" s="47" t="s">
        <v>594</v>
      </c>
      <c r="U541" s="47" t="s">
        <v>3502</v>
      </c>
      <c r="V541" s="141">
        <v>151088</v>
      </c>
      <c r="W541" s="337"/>
    </row>
    <row r="542" spans="19:23" ht="12.75">
      <c r="S542" s="140"/>
      <c r="T542" s="47" t="s">
        <v>591</v>
      </c>
      <c r="U542" s="47" t="s">
        <v>3499</v>
      </c>
      <c r="V542" s="141">
        <v>158306</v>
      </c>
      <c r="W542" s="337"/>
    </row>
    <row r="543" spans="19:23" ht="12.75">
      <c r="S543" s="140"/>
      <c r="T543" s="47" t="s">
        <v>3823</v>
      </c>
      <c r="U543" s="47" t="s">
        <v>1750</v>
      </c>
      <c r="V543" s="141">
        <v>127699</v>
      </c>
      <c r="W543" s="337"/>
    </row>
    <row r="544" spans="19:23" ht="12.75">
      <c r="S544" s="140"/>
      <c r="T544" s="47" t="s">
        <v>586</v>
      </c>
      <c r="U544" s="47" t="s">
        <v>3494</v>
      </c>
      <c r="V544" s="141">
        <v>133330</v>
      </c>
      <c r="W544" s="337"/>
    </row>
    <row r="545" spans="19:23" ht="12.75">
      <c r="S545" s="140"/>
      <c r="T545" s="47" t="s">
        <v>583</v>
      </c>
      <c r="U545" s="47" t="s">
        <v>4950</v>
      </c>
      <c r="V545" s="141">
        <v>140546</v>
      </c>
      <c r="W545" s="337"/>
    </row>
    <row r="546" spans="19:23" ht="12.75">
      <c r="S546" s="140"/>
      <c r="T546" s="47" t="s">
        <v>592</v>
      </c>
      <c r="U546" s="47" t="s">
        <v>3500</v>
      </c>
      <c r="V546" s="141">
        <v>157539</v>
      </c>
      <c r="W546" s="337"/>
    </row>
    <row r="547" spans="19:23" ht="12.75">
      <c r="S547" s="140"/>
      <c r="T547" s="47" t="s">
        <v>589</v>
      </c>
      <c r="U547" s="47" t="s">
        <v>3497</v>
      </c>
      <c r="V547" s="141">
        <v>164756</v>
      </c>
      <c r="W547" s="337"/>
    </row>
    <row r="548" spans="19:23" ht="12.75">
      <c r="S548" s="140"/>
      <c r="T548" s="47" t="s">
        <v>595</v>
      </c>
      <c r="U548" s="47" t="s">
        <v>3503</v>
      </c>
      <c r="V548" s="141">
        <v>95111</v>
      </c>
      <c r="W548" s="337"/>
    </row>
    <row r="549" spans="19:23" ht="12.75">
      <c r="S549" s="140"/>
      <c r="T549" s="47" t="s">
        <v>597</v>
      </c>
      <c r="U549" s="47" t="s">
        <v>4172</v>
      </c>
      <c r="V549" s="141">
        <v>100742</v>
      </c>
      <c r="W549" s="337"/>
    </row>
    <row r="550" spans="19:23" ht="12.75">
      <c r="S550" s="140"/>
      <c r="T550" s="47" t="s">
        <v>596</v>
      </c>
      <c r="U550" s="47" t="s">
        <v>4171</v>
      </c>
      <c r="V550" s="141">
        <v>107961</v>
      </c>
      <c r="W550" s="337"/>
    </row>
    <row r="551" spans="19:23" ht="12.75">
      <c r="S551" s="140"/>
      <c r="T551" s="47" t="s">
        <v>599</v>
      </c>
      <c r="U551" s="47" t="s">
        <v>472</v>
      </c>
      <c r="V551" s="141">
        <v>124952</v>
      </c>
      <c r="W551" s="337"/>
    </row>
    <row r="552" spans="19:23" ht="12.75">
      <c r="S552" s="140"/>
      <c r="T552" s="47" t="s">
        <v>598</v>
      </c>
      <c r="U552" s="47" t="s">
        <v>4173</v>
      </c>
      <c r="V552" s="141">
        <v>132170</v>
      </c>
      <c r="W552" s="337"/>
    </row>
    <row r="553" spans="19:23" ht="12.75">
      <c r="S553" s="140"/>
      <c r="T553" s="47" t="s">
        <v>979</v>
      </c>
      <c r="U553" s="47" t="s">
        <v>980</v>
      </c>
      <c r="V553" s="141">
        <v>222150</v>
      </c>
      <c r="W553" s="139"/>
    </row>
    <row r="554" spans="19:23" ht="12.75">
      <c r="S554" s="140"/>
      <c r="T554" s="47" t="s">
        <v>600</v>
      </c>
      <c r="U554" s="47" t="s">
        <v>473</v>
      </c>
      <c r="V554" s="141">
        <v>129999</v>
      </c>
      <c r="W554" s="337"/>
    </row>
    <row r="555" spans="19:23" ht="12.75">
      <c r="S555" s="140"/>
      <c r="T555" s="47" t="s">
        <v>602</v>
      </c>
      <c r="U555" s="47" t="s">
        <v>475</v>
      </c>
      <c r="V555" s="141">
        <v>135628</v>
      </c>
      <c r="W555" s="337"/>
    </row>
    <row r="556" spans="19:23" ht="12.75">
      <c r="S556" s="140"/>
      <c r="T556" s="47" t="s">
        <v>601</v>
      </c>
      <c r="U556" s="47" t="s">
        <v>474</v>
      </c>
      <c r="V556" s="141">
        <v>142846</v>
      </c>
      <c r="W556" s="337"/>
    </row>
    <row r="557" spans="19:23" ht="12.75">
      <c r="S557" s="140"/>
      <c r="T557" s="47" t="s">
        <v>604</v>
      </c>
      <c r="U557" s="47" t="s">
        <v>477</v>
      </c>
      <c r="V557" s="141">
        <v>159837</v>
      </c>
      <c r="W557" s="337"/>
    </row>
    <row r="558" spans="19:23" ht="12.75">
      <c r="S558" s="140"/>
      <c r="T558" s="47" t="s">
        <v>603</v>
      </c>
      <c r="U558" s="47" t="s">
        <v>476</v>
      </c>
      <c r="V558" s="141">
        <v>167055</v>
      </c>
      <c r="W558" s="337"/>
    </row>
    <row r="559" spans="19:23" ht="12.75">
      <c r="S559" s="140"/>
      <c r="T559" s="47" t="s">
        <v>981</v>
      </c>
      <c r="U559" s="47" t="s">
        <v>982</v>
      </c>
      <c r="V559" s="141">
        <v>257034</v>
      </c>
      <c r="W559" s="139"/>
    </row>
    <row r="560" spans="19:23" ht="12.75">
      <c r="S560" s="140"/>
      <c r="T560" s="47" t="s">
        <v>605</v>
      </c>
      <c r="U560" s="47" t="s">
        <v>478</v>
      </c>
      <c r="V560" s="141">
        <v>107856</v>
      </c>
      <c r="W560" s="337"/>
    </row>
    <row r="561" spans="19:23" ht="12.75">
      <c r="S561" s="140"/>
      <c r="T561" s="47" t="s">
        <v>607</v>
      </c>
      <c r="U561" s="47" t="s">
        <v>480</v>
      </c>
      <c r="V561" s="141">
        <v>113486</v>
      </c>
      <c r="W561" s="337"/>
    </row>
    <row r="562" spans="19:23" ht="12.75">
      <c r="S562" s="140"/>
      <c r="T562" s="47" t="s">
        <v>606</v>
      </c>
      <c r="U562" s="47" t="s">
        <v>479</v>
      </c>
      <c r="V562" s="141">
        <v>120702</v>
      </c>
      <c r="W562" s="337"/>
    </row>
    <row r="563" spans="19:23" ht="12.75">
      <c r="S563" s="140"/>
      <c r="T563" s="47" t="s">
        <v>609</v>
      </c>
      <c r="U563" s="47" t="s">
        <v>482</v>
      </c>
      <c r="V563" s="141">
        <v>137693</v>
      </c>
      <c r="W563" s="337"/>
    </row>
    <row r="564" spans="19:23" ht="12.75">
      <c r="S564" s="140"/>
      <c r="T564" s="47" t="s">
        <v>608</v>
      </c>
      <c r="U564" s="47" t="s">
        <v>481</v>
      </c>
      <c r="V564" s="141">
        <v>144913</v>
      </c>
      <c r="W564" s="337"/>
    </row>
    <row r="565" spans="19:23" ht="12.75">
      <c r="S565" s="140"/>
      <c r="T565" s="47" t="s">
        <v>983</v>
      </c>
      <c r="U565" s="47" t="s">
        <v>984</v>
      </c>
      <c r="V565" s="141">
        <v>234892</v>
      </c>
      <c r="W565" s="139"/>
    </row>
    <row r="566" spans="19:23" ht="12.75">
      <c r="S566" s="140"/>
      <c r="T566" s="47" t="s">
        <v>610</v>
      </c>
      <c r="U566" s="47" t="s">
        <v>3871</v>
      </c>
      <c r="V566" s="141">
        <v>123234</v>
      </c>
      <c r="W566" s="337"/>
    </row>
    <row r="567" spans="19:23" ht="12.75">
      <c r="S567" s="140"/>
      <c r="T567" s="47" t="s">
        <v>612</v>
      </c>
      <c r="U567" s="47" t="s">
        <v>4555</v>
      </c>
      <c r="V567" s="141">
        <v>128866</v>
      </c>
      <c r="W567" s="337"/>
    </row>
    <row r="568" spans="19:23" ht="12.75">
      <c r="S568" s="140"/>
      <c r="T568" s="47" t="s">
        <v>611</v>
      </c>
      <c r="U568" s="47" t="s">
        <v>4554</v>
      </c>
      <c r="V568" s="141">
        <v>136082</v>
      </c>
      <c r="W568" s="337"/>
    </row>
    <row r="569" spans="19:23" ht="12.75">
      <c r="S569" s="140"/>
      <c r="T569" s="47" t="s">
        <v>614</v>
      </c>
      <c r="U569" s="47" t="s">
        <v>4557</v>
      </c>
      <c r="V569" s="141">
        <v>153074</v>
      </c>
      <c r="W569" s="337"/>
    </row>
    <row r="570" spans="19:23" ht="12.75">
      <c r="S570" s="140"/>
      <c r="T570" s="47" t="s">
        <v>613</v>
      </c>
      <c r="U570" s="47" t="s">
        <v>4556</v>
      </c>
      <c r="V570" s="141">
        <v>160290</v>
      </c>
      <c r="W570" s="337"/>
    </row>
    <row r="571" spans="19:23" ht="12.75">
      <c r="S571" s="140"/>
      <c r="T571" s="47" t="s">
        <v>985</v>
      </c>
      <c r="U571" s="47" t="s">
        <v>986</v>
      </c>
      <c r="V571" s="141">
        <v>250270</v>
      </c>
      <c r="W571" s="139"/>
    </row>
    <row r="572" spans="19:23" ht="12.75">
      <c r="S572" s="140"/>
      <c r="T572" s="47" t="s">
        <v>615</v>
      </c>
      <c r="U572" s="47" t="s">
        <v>4558</v>
      </c>
      <c r="V572" s="141">
        <v>177458</v>
      </c>
      <c r="W572" s="337"/>
    </row>
    <row r="573" spans="19:23" ht="12.75">
      <c r="S573" s="140"/>
      <c r="T573" s="47" t="s">
        <v>617</v>
      </c>
      <c r="U573" s="47" t="s">
        <v>4560</v>
      </c>
      <c r="V573" s="141">
        <v>183090</v>
      </c>
      <c r="W573" s="337"/>
    </row>
    <row r="574" spans="19:23" ht="12.75">
      <c r="S574" s="140"/>
      <c r="T574" s="47" t="s">
        <v>616</v>
      </c>
      <c r="U574" s="47" t="s">
        <v>4559</v>
      </c>
      <c r="V574" s="141">
        <v>190307</v>
      </c>
      <c r="W574" s="337"/>
    </row>
    <row r="575" spans="19:23" ht="12.75">
      <c r="S575" s="140"/>
      <c r="T575" s="47" t="s">
        <v>619</v>
      </c>
      <c r="U575" s="47" t="s">
        <v>4562</v>
      </c>
      <c r="V575" s="141">
        <v>207299</v>
      </c>
      <c r="W575" s="337"/>
    </row>
    <row r="576" spans="19:23" ht="12.75">
      <c r="S576" s="140"/>
      <c r="T576" s="47" t="s">
        <v>618</v>
      </c>
      <c r="U576" s="47" t="s">
        <v>4561</v>
      </c>
      <c r="V576" s="141">
        <v>214516</v>
      </c>
      <c r="W576" s="337"/>
    </row>
    <row r="577" spans="19:23" ht="12.75">
      <c r="S577" s="140"/>
      <c r="T577" s="47" t="s">
        <v>987</v>
      </c>
      <c r="U577" s="47" t="s">
        <v>988</v>
      </c>
      <c r="V577" s="141">
        <v>304496</v>
      </c>
      <c r="W577" s="139"/>
    </row>
    <row r="578" spans="19:23" ht="12.75">
      <c r="S578" s="140"/>
      <c r="T578" s="47" t="s">
        <v>620</v>
      </c>
      <c r="U578" s="47" t="s">
        <v>4563</v>
      </c>
      <c r="V578" s="141">
        <v>130728</v>
      </c>
      <c r="W578" s="337"/>
    </row>
    <row r="579" spans="19:23" ht="12.75">
      <c r="S579" s="140"/>
      <c r="T579" s="47" t="s">
        <v>622</v>
      </c>
      <c r="U579" s="47" t="s">
        <v>1495</v>
      </c>
      <c r="V579" s="141">
        <v>136359</v>
      </c>
      <c r="W579" s="337"/>
    </row>
    <row r="580" spans="19:23" ht="12.75">
      <c r="S580" s="140"/>
      <c r="T580" s="47" t="s">
        <v>621</v>
      </c>
      <c r="U580" s="47" t="s">
        <v>4564</v>
      </c>
      <c r="V580" s="141">
        <v>143576</v>
      </c>
      <c r="W580" s="337"/>
    </row>
    <row r="581" spans="19:23" ht="12.75">
      <c r="S581" s="140"/>
      <c r="T581" s="47" t="s">
        <v>624</v>
      </c>
      <c r="U581" s="47" t="s">
        <v>3540</v>
      </c>
      <c r="V581" s="141">
        <v>160568</v>
      </c>
      <c r="W581" s="337"/>
    </row>
    <row r="582" spans="19:23" ht="12.75">
      <c r="S582" s="140"/>
      <c r="T582" s="47" t="s">
        <v>623</v>
      </c>
      <c r="U582" s="47" t="s">
        <v>1496</v>
      </c>
      <c r="V582" s="141">
        <v>167786</v>
      </c>
      <c r="W582" s="337"/>
    </row>
    <row r="583" spans="19:23" ht="12.75">
      <c r="S583" s="140"/>
      <c r="T583" s="47" t="s">
        <v>989</v>
      </c>
      <c r="U583" s="47" t="s">
        <v>990</v>
      </c>
      <c r="V583" s="141">
        <v>257765</v>
      </c>
      <c r="W583" s="139"/>
    </row>
    <row r="584" spans="19:23" ht="12.75">
      <c r="S584" s="140"/>
      <c r="T584" s="47" t="s">
        <v>625</v>
      </c>
      <c r="U584" s="47" t="s">
        <v>1427</v>
      </c>
      <c r="V584" s="141">
        <v>149748</v>
      </c>
      <c r="W584" s="337"/>
    </row>
    <row r="585" spans="19:23" ht="12.75">
      <c r="S585" s="140"/>
      <c r="T585" s="47" t="s">
        <v>627</v>
      </c>
      <c r="U585" s="47" t="s">
        <v>1530</v>
      </c>
      <c r="V585" s="141">
        <v>155379</v>
      </c>
      <c r="W585" s="337"/>
    </row>
    <row r="586" spans="19:23" ht="12.75">
      <c r="S586" s="140"/>
      <c r="T586" s="47" t="s">
        <v>626</v>
      </c>
      <c r="U586" s="47" t="s">
        <v>1428</v>
      </c>
      <c r="V586" s="141">
        <v>162597</v>
      </c>
      <c r="W586" s="337"/>
    </row>
    <row r="587" spans="19:23" ht="12.75">
      <c r="S587" s="140"/>
      <c r="T587" s="47" t="s">
        <v>629</v>
      </c>
      <c r="U587" s="47" t="s">
        <v>1532</v>
      </c>
      <c r="V587" s="141">
        <v>179588</v>
      </c>
      <c r="W587" s="337"/>
    </row>
    <row r="588" spans="19:23" ht="12.75">
      <c r="S588" s="140"/>
      <c r="T588" s="47" t="s">
        <v>628</v>
      </c>
      <c r="U588" s="47" t="s">
        <v>1531</v>
      </c>
      <c r="V588" s="141">
        <v>186804</v>
      </c>
      <c r="W588" s="337"/>
    </row>
    <row r="589" spans="19:23" ht="12.75">
      <c r="S589" s="140"/>
      <c r="T589" s="47" t="s">
        <v>991</v>
      </c>
      <c r="U589" s="47" t="s">
        <v>992</v>
      </c>
      <c r="V589" s="141">
        <v>276784</v>
      </c>
      <c r="W589" s="139"/>
    </row>
    <row r="590" spans="19:23" ht="12.75">
      <c r="S590" s="140"/>
      <c r="T590" s="47" t="s">
        <v>2346</v>
      </c>
      <c r="U590" s="47" t="s">
        <v>1653</v>
      </c>
      <c r="V590" s="141">
        <v>29428</v>
      </c>
      <c r="W590" s="337"/>
    </row>
    <row r="591" spans="19:23" ht="12.75">
      <c r="S591" s="140"/>
      <c r="T591" s="47" t="s">
        <v>2347</v>
      </c>
      <c r="U591" s="47" t="s">
        <v>1654</v>
      </c>
      <c r="V591" s="141">
        <v>35142</v>
      </c>
      <c r="W591" s="337"/>
    </row>
    <row r="592" spans="19:23" ht="12.75">
      <c r="S592" s="140"/>
      <c r="T592" s="47" t="s">
        <v>2344</v>
      </c>
      <c r="U592" s="47" t="s">
        <v>4125</v>
      </c>
      <c r="V592" s="141">
        <v>41593</v>
      </c>
      <c r="W592" s="337"/>
    </row>
    <row r="593" spans="19:23" ht="12.75">
      <c r="S593" s="140"/>
      <c r="T593" s="47" t="s">
        <v>2345</v>
      </c>
      <c r="U593" s="47" t="s">
        <v>1652</v>
      </c>
      <c r="V593" s="141">
        <v>29428</v>
      </c>
      <c r="W593" s="337"/>
    </row>
    <row r="594" spans="19:23" ht="12.75">
      <c r="S594" s="140"/>
      <c r="T594" s="47" t="s">
        <v>631</v>
      </c>
      <c r="U594" s="47" t="s">
        <v>3703</v>
      </c>
      <c r="V594" s="141">
        <v>117179</v>
      </c>
      <c r="W594" s="337"/>
    </row>
    <row r="595" spans="19:23" ht="12.75">
      <c r="S595" s="140"/>
      <c r="T595" s="47" t="s">
        <v>2420</v>
      </c>
      <c r="U595" s="47" t="s">
        <v>4477</v>
      </c>
      <c r="V595" s="141">
        <v>122809</v>
      </c>
      <c r="W595" s="337"/>
    </row>
    <row r="596" spans="19:23" ht="12.75">
      <c r="S596" s="140"/>
      <c r="T596" s="47" t="s">
        <v>2417</v>
      </c>
      <c r="U596" s="47" t="s">
        <v>3706</v>
      </c>
      <c r="V596" s="141">
        <v>130027</v>
      </c>
      <c r="W596" s="337"/>
    </row>
    <row r="597" spans="19:23" ht="12.75">
      <c r="S597" s="140"/>
      <c r="T597" s="47" t="s">
        <v>647</v>
      </c>
      <c r="U597" s="47" t="s">
        <v>1549</v>
      </c>
      <c r="V597" s="141">
        <v>147018</v>
      </c>
      <c r="W597" s="337"/>
    </row>
    <row r="598" spans="19:23" ht="12.75">
      <c r="S598" s="140"/>
      <c r="T598" s="47" t="s">
        <v>2423</v>
      </c>
      <c r="U598" s="47" t="s">
        <v>1546</v>
      </c>
      <c r="V598" s="141">
        <v>154235</v>
      </c>
      <c r="W598" s="337"/>
    </row>
    <row r="599" spans="19:23" ht="12.75">
      <c r="S599" s="140"/>
      <c r="T599" s="47" t="s">
        <v>993</v>
      </c>
      <c r="U599" s="47" t="s">
        <v>994</v>
      </c>
      <c r="V599" s="141">
        <v>244215</v>
      </c>
      <c r="W599" s="139"/>
    </row>
    <row r="600" spans="19:23" ht="12.75">
      <c r="S600" s="140"/>
      <c r="T600" s="47" t="s">
        <v>632</v>
      </c>
      <c r="U600" s="47" t="s">
        <v>3704</v>
      </c>
      <c r="V600" s="141">
        <v>124731</v>
      </c>
      <c r="W600" s="337"/>
    </row>
    <row r="601" spans="19:23" ht="12.75">
      <c r="S601" s="140"/>
      <c r="T601" s="47" t="s">
        <v>2421</v>
      </c>
      <c r="U601" s="47" t="s">
        <v>1544</v>
      </c>
      <c r="V601" s="141">
        <v>130360</v>
      </c>
      <c r="W601" s="337"/>
    </row>
    <row r="602" spans="19:23" ht="12.75">
      <c r="S602" s="140"/>
      <c r="T602" s="47" t="s">
        <v>2418</v>
      </c>
      <c r="U602" s="47" t="s">
        <v>3707</v>
      </c>
      <c r="V602" s="141">
        <v>137580</v>
      </c>
      <c r="W602" s="337"/>
    </row>
    <row r="603" spans="19:23" ht="12.75">
      <c r="S603" s="140"/>
      <c r="T603" s="47" t="s">
        <v>648</v>
      </c>
      <c r="U603" s="47" t="s">
        <v>1550</v>
      </c>
      <c r="V603" s="141">
        <v>154571</v>
      </c>
      <c r="W603" s="337"/>
    </row>
    <row r="604" spans="19:23" ht="12.75">
      <c r="S604" s="140"/>
      <c r="T604" s="47" t="s">
        <v>2424</v>
      </c>
      <c r="U604" s="47" t="s">
        <v>1547</v>
      </c>
      <c r="V604" s="141">
        <v>161787</v>
      </c>
      <c r="W604" s="337"/>
    </row>
    <row r="605" spans="19:23" ht="12.75">
      <c r="S605" s="140"/>
      <c r="T605" s="47" t="s">
        <v>630</v>
      </c>
      <c r="U605" s="47" t="s">
        <v>1533</v>
      </c>
      <c r="V605" s="141">
        <v>133427</v>
      </c>
      <c r="W605" s="337"/>
    </row>
    <row r="606" spans="19:23" ht="12.75">
      <c r="S606" s="140"/>
      <c r="T606" s="47" t="s">
        <v>2419</v>
      </c>
      <c r="U606" s="47" t="s">
        <v>4476</v>
      </c>
      <c r="V606" s="141">
        <v>139058</v>
      </c>
      <c r="W606" s="337"/>
    </row>
    <row r="607" spans="19:23" ht="12.75">
      <c r="S607" s="140"/>
      <c r="T607" s="47" t="s">
        <v>2416</v>
      </c>
      <c r="U607" s="47" t="s">
        <v>3705</v>
      </c>
      <c r="V607" s="141">
        <v>146275</v>
      </c>
      <c r="W607" s="337"/>
    </row>
    <row r="608" spans="19:23" ht="12.75">
      <c r="S608" s="140"/>
      <c r="T608" s="47" t="s">
        <v>2425</v>
      </c>
      <c r="U608" s="47" t="s">
        <v>1548</v>
      </c>
      <c r="V608" s="141">
        <v>163266</v>
      </c>
      <c r="W608" s="337"/>
    </row>
    <row r="609" spans="19:23" ht="12.75">
      <c r="S609" s="140"/>
      <c r="T609" s="47" t="s">
        <v>2422</v>
      </c>
      <c r="U609" s="47" t="s">
        <v>1545</v>
      </c>
      <c r="V609" s="141">
        <v>170484</v>
      </c>
      <c r="W609" s="337"/>
    </row>
    <row r="610" spans="19:23" ht="12.75">
      <c r="S610" s="140"/>
      <c r="T610" s="47" t="s">
        <v>650</v>
      </c>
      <c r="U610" s="47" t="s">
        <v>1396</v>
      </c>
      <c r="V610" s="141">
        <v>151347</v>
      </c>
      <c r="W610" s="337"/>
    </row>
    <row r="611" spans="19:23" ht="12.75">
      <c r="S611" s="140"/>
      <c r="T611" s="47" t="s">
        <v>656</v>
      </c>
      <c r="U611" s="47" t="s">
        <v>1402</v>
      </c>
      <c r="V611" s="141">
        <v>156978</v>
      </c>
      <c r="W611" s="337"/>
    </row>
    <row r="612" spans="19:23" ht="12.75">
      <c r="S612" s="140"/>
      <c r="T612" s="47" t="s">
        <v>653</v>
      </c>
      <c r="U612" s="47" t="s">
        <v>1399</v>
      </c>
      <c r="V612" s="141">
        <v>164194</v>
      </c>
      <c r="W612" s="337"/>
    </row>
    <row r="613" spans="19:23" ht="12.75">
      <c r="S613" s="140"/>
      <c r="T613" s="47" t="s">
        <v>662</v>
      </c>
      <c r="U613" s="47" t="s">
        <v>1569</v>
      </c>
      <c r="V613" s="141">
        <v>181186</v>
      </c>
      <c r="W613" s="337"/>
    </row>
    <row r="614" spans="19:23" ht="12.75">
      <c r="S614" s="140"/>
      <c r="T614" s="47" t="s">
        <v>659</v>
      </c>
      <c r="U614" s="47" t="s">
        <v>1566</v>
      </c>
      <c r="V614" s="141">
        <v>188403</v>
      </c>
      <c r="W614" s="337"/>
    </row>
    <row r="615" spans="19:23" ht="12.75">
      <c r="S615" s="140"/>
      <c r="T615" s="47" t="s">
        <v>995</v>
      </c>
      <c r="U615" s="47" t="s">
        <v>996</v>
      </c>
      <c r="V615" s="141">
        <v>278383</v>
      </c>
      <c r="W615" s="139"/>
    </row>
    <row r="616" spans="19:23" ht="12.75">
      <c r="S616" s="140"/>
      <c r="T616" s="47" t="s">
        <v>651</v>
      </c>
      <c r="U616" s="47" t="s">
        <v>1397</v>
      </c>
      <c r="V616" s="141">
        <v>158898</v>
      </c>
      <c r="W616" s="337"/>
    </row>
    <row r="617" spans="19:23" ht="12.75">
      <c r="S617" s="140"/>
      <c r="T617" s="47" t="s">
        <v>657</v>
      </c>
      <c r="U617" s="47" t="s">
        <v>1564</v>
      </c>
      <c r="V617" s="141">
        <v>164530</v>
      </c>
      <c r="W617" s="337"/>
    </row>
    <row r="618" spans="19:23" ht="12.75">
      <c r="S618" s="140"/>
      <c r="T618" s="47" t="s">
        <v>654</v>
      </c>
      <c r="U618" s="47" t="s">
        <v>1400</v>
      </c>
      <c r="V618" s="141">
        <v>171747</v>
      </c>
      <c r="W618" s="337"/>
    </row>
    <row r="619" spans="19:23" ht="12.75">
      <c r="S619" s="140"/>
      <c r="T619" s="47" t="s">
        <v>663</v>
      </c>
      <c r="U619" s="47" t="s">
        <v>1570</v>
      </c>
      <c r="V619" s="141">
        <v>188738</v>
      </c>
      <c r="W619" s="337"/>
    </row>
    <row r="620" spans="19:23" ht="12.75">
      <c r="S620" s="140"/>
      <c r="T620" s="47" t="s">
        <v>660</v>
      </c>
      <c r="U620" s="47" t="s">
        <v>1567</v>
      </c>
      <c r="V620" s="141">
        <v>195955</v>
      </c>
      <c r="W620" s="337"/>
    </row>
    <row r="621" spans="19:23" ht="12.75">
      <c r="S621" s="140"/>
      <c r="T621" s="47" t="s">
        <v>649</v>
      </c>
      <c r="U621" s="47" t="s">
        <v>1395</v>
      </c>
      <c r="V621" s="141">
        <v>167594</v>
      </c>
      <c r="W621" s="337"/>
    </row>
    <row r="622" spans="19:23" ht="12.75">
      <c r="S622" s="140"/>
      <c r="T622" s="47" t="s">
        <v>655</v>
      </c>
      <c r="U622" s="47" t="s">
        <v>1401</v>
      </c>
      <c r="V622" s="141">
        <v>173225</v>
      </c>
      <c r="W622" s="337"/>
    </row>
    <row r="623" spans="19:23" ht="12.75">
      <c r="S623" s="140"/>
      <c r="T623" s="47" t="s">
        <v>652</v>
      </c>
      <c r="U623" s="47" t="s">
        <v>1398</v>
      </c>
      <c r="V623" s="141">
        <v>180443</v>
      </c>
      <c r="W623" s="337"/>
    </row>
    <row r="624" spans="19:23" ht="12.75">
      <c r="S624" s="140"/>
      <c r="T624" s="47" t="s">
        <v>661</v>
      </c>
      <c r="U624" s="47" t="s">
        <v>1568</v>
      </c>
      <c r="V624" s="141">
        <v>197434</v>
      </c>
      <c r="W624" s="337"/>
    </row>
    <row r="625" spans="19:23" ht="12.75">
      <c r="S625" s="140"/>
      <c r="T625" s="47" t="s">
        <v>658</v>
      </c>
      <c r="U625" s="47" t="s">
        <v>1565</v>
      </c>
      <c r="V625" s="141">
        <v>204651</v>
      </c>
      <c r="W625" s="337"/>
    </row>
    <row r="626" spans="19:23" ht="12.75">
      <c r="S626" s="140"/>
      <c r="T626" s="47" t="s">
        <v>665</v>
      </c>
      <c r="U626" s="47" t="s">
        <v>1572</v>
      </c>
      <c r="V626" s="141">
        <v>122750</v>
      </c>
      <c r="W626" s="337"/>
    </row>
    <row r="627" spans="19:23" ht="12.75">
      <c r="S627" s="140"/>
      <c r="T627" s="47" t="s">
        <v>671</v>
      </c>
      <c r="U627" s="47" t="s">
        <v>1578</v>
      </c>
      <c r="V627" s="141">
        <v>128379</v>
      </c>
      <c r="W627" s="337"/>
    </row>
    <row r="628" spans="19:23" ht="12.75">
      <c r="S628" s="140"/>
      <c r="T628" s="47" t="s">
        <v>668</v>
      </c>
      <c r="U628" s="47" t="s">
        <v>1575</v>
      </c>
      <c r="V628" s="141">
        <v>135595</v>
      </c>
      <c r="W628" s="337"/>
    </row>
    <row r="629" spans="19:23" ht="12.75">
      <c r="S629" s="140"/>
      <c r="T629" s="47" t="s">
        <v>3032</v>
      </c>
      <c r="U629" s="47" t="s">
        <v>1584</v>
      </c>
      <c r="V629" s="141">
        <v>152588</v>
      </c>
      <c r="W629" s="337"/>
    </row>
    <row r="630" spans="19:23" ht="12.75">
      <c r="S630" s="140"/>
      <c r="T630" s="47" t="s">
        <v>674</v>
      </c>
      <c r="U630" s="47" t="s">
        <v>1581</v>
      </c>
      <c r="V630" s="141">
        <v>159806</v>
      </c>
      <c r="W630" s="337"/>
    </row>
    <row r="631" spans="19:23" ht="12.75">
      <c r="S631" s="140"/>
      <c r="T631" s="47" t="s">
        <v>997</v>
      </c>
      <c r="U631" s="47" t="s">
        <v>998</v>
      </c>
      <c r="V631" s="141">
        <v>249785</v>
      </c>
      <c r="W631" s="139"/>
    </row>
    <row r="632" spans="19:23" ht="12.75">
      <c r="S632" s="140"/>
      <c r="T632" s="47" t="s">
        <v>666</v>
      </c>
      <c r="U632" s="47" t="s">
        <v>1573</v>
      </c>
      <c r="V632" s="141">
        <v>130301</v>
      </c>
      <c r="W632" s="337"/>
    </row>
    <row r="633" spans="19:23" ht="12.75">
      <c r="S633" s="140"/>
      <c r="T633" s="47" t="s">
        <v>672</v>
      </c>
      <c r="U633" s="47" t="s">
        <v>1579</v>
      </c>
      <c r="V633" s="141">
        <v>135932</v>
      </c>
      <c r="W633" s="337"/>
    </row>
    <row r="634" spans="19:23" ht="12.75">
      <c r="S634" s="140"/>
      <c r="T634" s="47" t="s">
        <v>669</v>
      </c>
      <c r="U634" s="47" t="s">
        <v>1576</v>
      </c>
      <c r="V634" s="141">
        <v>143149</v>
      </c>
      <c r="W634" s="337"/>
    </row>
    <row r="635" spans="19:23" ht="12.75">
      <c r="S635" s="140"/>
      <c r="T635" s="47" t="s">
        <v>3033</v>
      </c>
      <c r="U635" s="47" t="s">
        <v>1585</v>
      </c>
      <c r="V635" s="141">
        <v>160140</v>
      </c>
      <c r="W635" s="337"/>
    </row>
    <row r="636" spans="19:23" ht="12.75">
      <c r="S636" s="140"/>
      <c r="T636" s="47" t="s">
        <v>3030</v>
      </c>
      <c r="U636" s="47" t="s">
        <v>1582</v>
      </c>
      <c r="V636" s="141">
        <v>167358</v>
      </c>
      <c r="W636" s="337"/>
    </row>
    <row r="637" spans="19:23" ht="12.75">
      <c r="S637" s="140"/>
      <c r="T637" s="47" t="s">
        <v>664</v>
      </c>
      <c r="U637" s="47" t="s">
        <v>1571</v>
      </c>
      <c r="V637" s="141">
        <v>138998</v>
      </c>
      <c r="W637" s="337"/>
    </row>
    <row r="638" spans="19:23" ht="12.75">
      <c r="S638" s="140"/>
      <c r="T638" s="47" t="s">
        <v>670</v>
      </c>
      <c r="U638" s="47" t="s">
        <v>1577</v>
      </c>
      <c r="V638" s="141">
        <v>144628</v>
      </c>
      <c r="W638" s="337"/>
    </row>
    <row r="639" spans="19:23" ht="12.75">
      <c r="S639" s="140"/>
      <c r="T639" s="47" t="s">
        <v>667</v>
      </c>
      <c r="U639" s="47" t="s">
        <v>1574</v>
      </c>
      <c r="V639" s="141">
        <v>151845</v>
      </c>
      <c r="W639" s="337"/>
    </row>
    <row r="640" spans="19:23" ht="12.75">
      <c r="S640" s="140"/>
      <c r="T640" s="47" t="s">
        <v>3031</v>
      </c>
      <c r="U640" s="47" t="s">
        <v>1583</v>
      </c>
      <c r="V640" s="141">
        <v>168836</v>
      </c>
      <c r="W640" s="337"/>
    </row>
    <row r="641" spans="19:23" ht="12.75">
      <c r="S641" s="140"/>
      <c r="T641" s="47" t="s">
        <v>673</v>
      </c>
      <c r="U641" s="47" t="s">
        <v>1580</v>
      </c>
      <c r="V641" s="141">
        <v>176054</v>
      </c>
      <c r="W641" s="337"/>
    </row>
    <row r="642" spans="19:23" ht="12.75">
      <c r="S642" s="140"/>
      <c r="T642" s="47" t="s">
        <v>3035</v>
      </c>
      <c r="U642" s="47" t="s">
        <v>1587</v>
      </c>
      <c r="V642" s="141">
        <v>140935</v>
      </c>
      <c r="W642" s="337"/>
    </row>
    <row r="643" spans="19:23" ht="12.75">
      <c r="S643" s="140"/>
      <c r="T643" s="47" t="s">
        <v>3041</v>
      </c>
      <c r="U643" s="47" t="s">
        <v>1612</v>
      </c>
      <c r="V643" s="141">
        <v>146565</v>
      </c>
      <c r="W643" s="337"/>
    </row>
    <row r="644" spans="19:23" ht="12.75">
      <c r="S644" s="140"/>
      <c r="T644" s="47" t="s">
        <v>3038</v>
      </c>
      <c r="U644" s="47" t="s">
        <v>1590</v>
      </c>
      <c r="V644" s="141">
        <v>153782</v>
      </c>
      <c r="W644" s="337"/>
    </row>
    <row r="645" spans="19:23" ht="12.75">
      <c r="S645" s="140"/>
      <c r="T645" s="47" t="s">
        <v>3047</v>
      </c>
      <c r="U645" s="47" t="s">
        <v>1618</v>
      </c>
      <c r="V645" s="141">
        <v>170774</v>
      </c>
      <c r="W645" s="337"/>
    </row>
    <row r="646" spans="19:23" ht="12.75">
      <c r="S646" s="140"/>
      <c r="T646" s="47" t="s">
        <v>3044</v>
      </c>
      <c r="U646" s="47" t="s">
        <v>1615</v>
      </c>
      <c r="V646" s="141">
        <v>177992</v>
      </c>
      <c r="W646" s="337"/>
    </row>
    <row r="647" spans="19:23" ht="12.75">
      <c r="S647" s="140"/>
      <c r="T647" s="47" t="s">
        <v>999</v>
      </c>
      <c r="U647" s="47" t="s">
        <v>1000</v>
      </c>
      <c r="V647" s="141">
        <v>267971</v>
      </c>
      <c r="W647" s="139"/>
    </row>
    <row r="648" spans="19:23" ht="12.75">
      <c r="S648" s="140"/>
      <c r="T648" s="47" t="s">
        <v>3036</v>
      </c>
      <c r="U648" s="47" t="s">
        <v>1588</v>
      </c>
      <c r="V648" s="141">
        <v>148486</v>
      </c>
      <c r="W648" s="337"/>
    </row>
    <row r="649" spans="19:23" ht="12.75">
      <c r="S649" s="140"/>
      <c r="T649" s="47" t="s">
        <v>3042</v>
      </c>
      <c r="U649" s="47" t="s">
        <v>1613</v>
      </c>
      <c r="V649" s="141">
        <v>154117</v>
      </c>
      <c r="W649" s="337"/>
    </row>
    <row r="650" spans="19:23" ht="12.75">
      <c r="S650" s="140"/>
      <c r="T650" s="47" t="s">
        <v>3039</v>
      </c>
      <c r="U650" s="47" t="s">
        <v>1610</v>
      </c>
      <c r="V650" s="141">
        <v>161334</v>
      </c>
      <c r="W650" s="337"/>
    </row>
    <row r="651" spans="19:23" ht="12.75">
      <c r="S651" s="140"/>
      <c r="T651" s="47" t="s">
        <v>3048</v>
      </c>
      <c r="U651" s="47" t="s">
        <v>1619</v>
      </c>
      <c r="V651" s="141">
        <v>178326</v>
      </c>
      <c r="W651" s="337"/>
    </row>
    <row r="652" spans="19:23" ht="12.75">
      <c r="S652" s="140"/>
      <c r="T652" s="47" t="s">
        <v>3045</v>
      </c>
      <c r="U652" s="47" t="s">
        <v>1616</v>
      </c>
      <c r="V652" s="141">
        <v>185543</v>
      </c>
      <c r="W652" s="337"/>
    </row>
    <row r="653" spans="19:23" ht="12.75">
      <c r="S653" s="140"/>
      <c r="T653" s="47" t="s">
        <v>3034</v>
      </c>
      <c r="U653" s="47" t="s">
        <v>1586</v>
      </c>
      <c r="V653" s="141">
        <v>157184</v>
      </c>
      <c r="W653" s="337"/>
    </row>
    <row r="654" spans="19:23" ht="12.75">
      <c r="S654" s="140"/>
      <c r="T654" s="47" t="s">
        <v>3040</v>
      </c>
      <c r="U654" s="47" t="s">
        <v>1611</v>
      </c>
      <c r="V654" s="141">
        <v>162814</v>
      </c>
      <c r="W654" s="337"/>
    </row>
    <row r="655" spans="19:23" ht="12.75">
      <c r="S655" s="140"/>
      <c r="T655" s="47" t="s">
        <v>3037</v>
      </c>
      <c r="U655" s="47" t="s">
        <v>1589</v>
      </c>
      <c r="V655" s="141">
        <v>170031</v>
      </c>
      <c r="W655" s="337"/>
    </row>
    <row r="656" spans="19:23" ht="12.75">
      <c r="S656" s="140"/>
      <c r="T656" s="47" t="s">
        <v>3046</v>
      </c>
      <c r="U656" s="47" t="s">
        <v>1617</v>
      </c>
      <c r="V656" s="141">
        <v>187023</v>
      </c>
      <c r="W656" s="337"/>
    </row>
    <row r="657" spans="19:23" ht="12.75">
      <c r="S657" s="140"/>
      <c r="T657" s="47" t="s">
        <v>3043</v>
      </c>
      <c r="U657" s="47" t="s">
        <v>1614</v>
      </c>
      <c r="V657" s="141">
        <v>194239</v>
      </c>
      <c r="W657" s="337"/>
    </row>
    <row r="658" spans="19:23" ht="12.75">
      <c r="S658" s="140"/>
      <c r="T658" s="47" t="s">
        <v>3050</v>
      </c>
      <c r="U658" s="47" t="s">
        <v>1621</v>
      </c>
      <c r="V658" s="141">
        <v>193490</v>
      </c>
      <c r="W658" s="337"/>
    </row>
    <row r="659" spans="19:23" ht="12.75">
      <c r="S659" s="140"/>
      <c r="T659" s="47" t="s">
        <v>3056</v>
      </c>
      <c r="U659" s="47" t="s">
        <v>1627</v>
      </c>
      <c r="V659" s="141">
        <v>199120</v>
      </c>
      <c r="W659" s="337"/>
    </row>
    <row r="660" spans="19:23" ht="12.75">
      <c r="S660" s="140"/>
      <c r="T660" s="47" t="s">
        <v>3053</v>
      </c>
      <c r="U660" s="47" t="s">
        <v>1624</v>
      </c>
      <c r="V660" s="141">
        <v>206338</v>
      </c>
      <c r="W660" s="337"/>
    </row>
    <row r="661" spans="19:23" ht="12.75">
      <c r="S661" s="140"/>
      <c r="T661" s="47" t="s">
        <v>693</v>
      </c>
      <c r="U661" s="47" t="s">
        <v>1633</v>
      </c>
      <c r="V661" s="141">
        <v>223329</v>
      </c>
      <c r="W661" s="337"/>
    </row>
    <row r="662" spans="19:23" ht="12.75">
      <c r="S662" s="140"/>
      <c r="T662" s="47" t="s">
        <v>3059</v>
      </c>
      <c r="U662" s="47" t="s">
        <v>1630</v>
      </c>
      <c r="V662" s="141">
        <v>230548</v>
      </c>
      <c r="W662" s="337"/>
    </row>
    <row r="663" spans="19:23" ht="12.75">
      <c r="S663" s="140"/>
      <c r="T663" s="47" t="s">
        <v>1001</v>
      </c>
      <c r="U663" s="47" t="s">
        <v>1002</v>
      </c>
      <c r="V663" s="141">
        <v>320527</v>
      </c>
      <c r="W663" s="139"/>
    </row>
    <row r="664" spans="19:23" ht="12.75">
      <c r="S664" s="140"/>
      <c r="T664" s="47" t="s">
        <v>3051</v>
      </c>
      <c r="U664" s="47" t="s">
        <v>1622</v>
      </c>
      <c r="V664" s="141">
        <v>201043</v>
      </c>
      <c r="W664" s="337"/>
    </row>
    <row r="665" spans="19:23" ht="12.75">
      <c r="S665" s="140"/>
      <c r="T665" s="47" t="s">
        <v>3057</v>
      </c>
      <c r="U665" s="47" t="s">
        <v>1628</v>
      </c>
      <c r="V665" s="141">
        <v>206673</v>
      </c>
      <c r="W665" s="337"/>
    </row>
    <row r="666" spans="19:23" ht="12.75">
      <c r="S666" s="140"/>
      <c r="T666" s="47" t="s">
        <v>3054</v>
      </c>
      <c r="U666" s="47" t="s">
        <v>1625</v>
      </c>
      <c r="V666" s="141">
        <v>213890</v>
      </c>
      <c r="W666" s="337"/>
    </row>
    <row r="667" spans="19:23" ht="12.75">
      <c r="S667" s="140"/>
      <c r="T667" s="47" t="s">
        <v>694</v>
      </c>
      <c r="U667" s="47" t="s">
        <v>1634</v>
      </c>
      <c r="V667" s="141">
        <v>230881</v>
      </c>
      <c r="W667" s="337"/>
    </row>
    <row r="668" spans="19:23" ht="12.75">
      <c r="S668" s="140"/>
      <c r="T668" s="47" t="s">
        <v>3060</v>
      </c>
      <c r="U668" s="47" t="s">
        <v>1631</v>
      </c>
      <c r="V668" s="141">
        <v>238100</v>
      </c>
      <c r="W668" s="337"/>
    </row>
    <row r="669" spans="19:23" ht="12.75">
      <c r="S669" s="140"/>
      <c r="T669" s="47" t="s">
        <v>3049</v>
      </c>
      <c r="U669" s="47" t="s">
        <v>1620</v>
      </c>
      <c r="V669" s="141">
        <v>209739</v>
      </c>
      <c r="W669" s="337"/>
    </row>
    <row r="670" spans="19:23" ht="12.75">
      <c r="S670" s="140"/>
      <c r="T670" s="47" t="s">
        <v>3055</v>
      </c>
      <c r="U670" s="47" t="s">
        <v>1626</v>
      </c>
      <c r="V670" s="141">
        <v>215370</v>
      </c>
      <c r="W670" s="337"/>
    </row>
    <row r="671" spans="19:23" ht="12.75">
      <c r="S671" s="140"/>
      <c r="T671" s="47" t="s">
        <v>3052</v>
      </c>
      <c r="U671" s="47" t="s">
        <v>1623</v>
      </c>
      <c r="V671" s="141">
        <v>222587</v>
      </c>
      <c r="W671" s="337"/>
    </row>
    <row r="672" spans="19:23" ht="12.75">
      <c r="S672" s="140"/>
      <c r="T672" s="47" t="s">
        <v>3061</v>
      </c>
      <c r="U672" s="47" t="s">
        <v>1632</v>
      </c>
      <c r="V672" s="141">
        <v>239577</v>
      </c>
      <c r="W672" s="337"/>
    </row>
    <row r="673" spans="19:23" ht="12.75">
      <c r="S673" s="140"/>
      <c r="T673" s="47" t="s">
        <v>3058</v>
      </c>
      <c r="U673" s="47" t="s">
        <v>1629</v>
      </c>
      <c r="V673" s="141">
        <v>246797</v>
      </c>
      <c r="W673" s="337"/>
    </row>
    <row r="674" spans="19:23" ht="12.75">
      <c r="S674" s="140"/>
      <c r="T674" s="47" t="s">
        <v>696</v>
      </c>
      <c r="U674" s="47" t="s">
        <v>1636</v>
      </c>
      <c r="V674" s="141">
        <v>141884</v>
      </c>
      <c r="W674" s="337"/>
    </row>
    <row r="675" spans="19:23" ht="12.75">
      <c r="S675" s="140"/>
      <c r="T675" s="47" t="s">
        <v>702</v>
      </c>
      <c r="U675" s="47" t="s">
        <v>1642</v>
      </c>
      <c r="V675" s="141">
        <v>147515</v>
      </c>
      <c r="W675" s="337"/>
    </row>
    <row r="676" spans="19:23" ht="12.75">
      <c r="S676" s="140"/>
      <c r="T676" s="47" t="s">
        <v>699</v>
      </c>
      <c r="U676" s="47" t="s">
        <v>1639</v>
      </c>
      <c r="V676" s="141">
        <v>154732</v>
      </c>
      <c r="W676" s="337"/>
    </row>
    <row r="677" spans="19:23" ht="12.75">
      <c r="S677" s="140"/>
      <c r="T677" s="47" t="s">
        <v>708</v>
      </c>
      <c r="U677" s="47" t="s">
        <v>1648</v>
      </c>
      <c r="V677" s="141">
        <v>171724</v>
      </c>
      <c r="W677" s="337"/>
    </row>
    <row r="678" spans="19:23" ht="12.75">
      <c r="S678" s="140"/>
      <c r="T678" s="47" t="s">
        <v>705</v>
      </c>
      <c r="U678" s="47" t="s">
        <v>1645</v>
      </c>
      <c r="V678" s="141">
        <v>178942</v>
      </c>
      <c r="W678" s="337"/>
    </row>
    <row r="679" spans="19:23" ht="12.75">
      <c r="S679" s="140"/>
      <c r="T679" s="47" t="s">
        <v>1003</v>
      </c>
      <c r="U679" s="47" t="s">
        <v>1004</v>
      </c>
      <c r="V679" s="141">
        <v>268921</v>
      </c>
      <c r="W679" s="139"/>
    </row>
    <row r="680" spans="19:23" ht="12.75">
      <c r="S680" s="140"/>
      <c r="T680" s="47" t="s">
        <v>697</v>
      </c>
      <c r="U680" s="47" t="s">
        <v>1637</v>
      </c>
      <c r="V680" s="141">
        <v>149436</v>
      </c>
      <c r="W680" s="337"/>
    </row>
    <row r="681" spans="19:23" ht="12.75">
      <c r="S681" s="140"/>
      <c r="T681" s="47" t="s">
        <v>703</v>
      </c>
      <c r="U681" s="47" t="s">
        <v>1643</v>
      </c>
      <c r="V681" s="141">
        <v>155066</v>
      </c>
      <c r="W681" s="337"/>
    </row>
    <row r="682" spans="19:23" ht="12.75">
      <c r="S682" s="140"/>
      <c r="T682" s="47" t="s">
        <v>700</v>
      </c>
      <c r="U682" s="47" t="s">
        <v>1640</v>
      </c>
      <c r="V682" s="141">
        <v>162286</v>
      </c>
      <c r="W682" s="337"/>
    </row>
    <row r="683" spans="19:23" ht="12.75">
      <c r="S683" s="140"/>
      <c r="T683" s="47" t="s">
        <v>709</v>
      </c>
      <c r="U683" s="47" t="s">
        <v>1649</v>
      </c>
      <c r="V683" s="141">
        <v>179276</v>
      </c>
      <c r="W683" s="337"/>
    </row>
    <row r="684" spans="19:23" ht="12.75">
      <c r="S684" s="140"/>
      <c r="T684" s="47" t="s">
        <v>706</v>
      </c>
      <c r="U684" s="47" t="s">
        <v>1646</v>
      </c>
      <c r="V684" s="141">
        <v>186493</v>
      </c>
      <c r="W684" s="337"/>
    </row>
    <row r="685" spans="19:23" ht="12.75">
      <c r="S685" s="140"/>
      <c r="T685" s="47" t="s">
        <v>695</v>
      </c>
      <c r="U685" s="47" t="s">
        <v>1635</v>
      </c>
      <c r="V685" s="141">
        <v>158133</v>
      </c>
      <c r="W685" s="337"/>
    </row>
    <row r="686" spans="19:23" ht="12.75">
      <c r="S686" s="140"/>
      <c r="T686" s="47" t="s">
        <v>701</v>
      </c>
      <c r="U686" s="47" t="s">
        <v>1641</v>
      </c>
      <c r="V686" s="141">
        <v>163763</v>
      </c>
      <c r="W686" s="337"/>
    </row>
    <row r="687" spans="19:23" ht="12.75">
      <c r="S687" s="140"/>
      <c r="T687" s="47" t="s">
        <v>698</v>
      </c>
      <c r="U687" s="47" t="s">
        <v>1638</v>
      </c>
      <c r="V687" s="141">
        <v>170980</v>
      </c>
      <c r="W687" s="337"/>
    </row>
    <row r="688" spans="19:23" ht="12.75">
      <c r="S688" s="140"/>
      <c r="T688" s="47" t="s">
        <v>707</v>
      </c>
      <c r="U688" s="47" t="s">
        <v>1647</v>
      </c>
      <c r="V688" s="141">
        <v>187972</v>
      </c>
      <c r="W688" s="337"/>
    </row>
    <row r="689" spans="19:23" ht="12.75">
      <c r="S689" s="140"/>
      <c r="T689" s="47" t="s">
        <v>704</v>
      </c>
      <c r="U689" s="47" t="s">
        <v>1644</v>
      </c>
      <c r="V689" s="141">
        <v>195190</v>
      </c>
      <c r="W689" s="337"/>
    </row>
    <row r="690" spans="19:23" ht="12.75">
      <c r="S690" s="140"/>
      <c r="T690" s="47" t="s">
        <v>711</v>
      </c>
      <c r="U690" s="47" t="s">
        <v>1651</v>
      </c>
      <c r="V690" s="141">
        <v>151667</v>
      </c>
      <c r="W690" s="337"/>
    </row>
    <row r="691" spans="19:23" ht="12.75">
      <c r="S691" s="140"/>
      <c r="T691" s="47" t="s">
        <v>717</v>
      </c>
      <c r="U691" s="47" t="s">
        <v>1665</v>
      </c>
      <c r="V691" s="141">
        <v>157298</v>
      </c>
      <c r="W691" s="337"/>
    </row>
    <row r="692" spans="19:23" ht="12.75">
      <c r="S692" s="140"/>
      <c r="T692" s="47" t="s">
        <v>714</v>
      </c>
      <c r="U692" s="47" t="s">
        <v>748</v>
      </c>
      <c r="V692" s="141">
        <v>164515</v>
      </c>
      <c r="W692" s="337"/>
    </row>
    <row r="693" spans="19:23" ht="12.75">
      <c r="S693" s="140"/>
      <c r="T693" s="47" t="s">
        <v>723</v>
      </c>
      <c r="U693" s="47" t="s">
        <v>1671</v>
      </c>
      <c r="V693" s="141">
        <v>181506</v>
      </c>
      <c r="W693" s="337"/>
    </row>
    <row r="694" spans="19:23" ht="12.75">
      <c r="S694" s="140"/>
      <c r="T694" s="47" t="s">
        <v>720</v>
      </c>
      <c r="U694" s="47" t="s">
        <v>1668</v>
      </c>
      <c r="V694" s="141">
        <v>188725</v>
      </c>
      <c r="W694" s="337"/>
    </row>
    <row r="695" spans="19:23" ht="12.75">
      <c r="S695" s="140"/>
      <c r="T695" s="47" t="s">
        <v>1005</v>
      </c>
      <c r="U695" s="47" t="s">
        <v>1006</v>
      </c>
      <c r="V695" s="141">
        <v>278703</v>
      </c>
      <c r="W695" s="139"/>
    </row>
    <row r="696" spans="19:23" ht="12.75">
      <c r="S696" s="140"/>
      <c r="T696" s="47" t="s">
        <v>712</v>
      </c>
      <c r="U696" s="47" t="s">
        <v>746</v>
      </c>
      <c r="V696" s="141">
        <v>159219</v>
      </c>
      <c r="W696" s="139"/>
    </row>
    <row r="697" spans="19:23" ht="12.75">
      <c r="S697" s="140"/>
      <c r="T697" s="47" t="s">
        <v>718</v>
      </c>
      <c r="U697" s="47" t="s">
        <v>1666</v>
      </c>
      <c r="V697" s="141">
        <v>164850</v>
      </c>
      <c r="W697" s="139"/>
    </row>
    <row r="698" spans="19:23" ht="12.75">
      <c r="S698" s="140"/>
      <c r="T698" s="47" t="s">
        <v>715</v>
      </c>
      <c r="U698" s="47" t="s">
        <v>749</v>
      </c>
      <c r="V698" s="141">
        <v>172068</v>
      </c>
      <c r="W698" s="139"/>
    </row>
    <row r="699" spans="19:23" ht="12.75">
      <c r="S699" s="140"/>
      <c r="T699" s="47" t="s">
        <v>3085</v>
      </c>
      <c r="U699" s="47" t="s">
        <v>1672</v>
      </c>
      <c r="V699" s="141">
        <v>189061</v>
      </c>
      <c r="W699" s="139"/>
    </row>
    <row r="700" spans="19:23" ht="12.75">
      <c r="S700" s="140"/>
      <c r="T700" s="47" t="s">
        <v>721</v>
      </c>
      <c r="U700" s="47" t="s">
        <v>1669</v>
      </c>
      <c r="V700" s="141">
        <v>196277</v>
      </c>
      <c r="W700" s="139"/>
    </row>
    <row r="701" spans="19:23" ht="12.75">
      <c r="S701" s="140"/>
      <c r="T701" s="47" t="s">
        <v>710</v>
      </c>
      <c r="U701" s="47" t="s">
        <v>1650</v>
      </c>
      <c r="V701" s="141">
        <v>167916</v>
      </c>
      <c r="W701" s="337"/>
    </row>
    <row r="702" spans="19:23" ht="12.75">
      <c r="S702" s="140"/>
      <c r="T702" s="47" t="s">
        <v>716</v>
      </c>
      <c r="U702" s="47" t="s">
        <v>750</v>
      </c>
      <c r="V702" s="141">
        <v>173545</v>
      </c>
      <c r="W702" s="337"/>
    </row>
    <row r="703" spans="19:23" ht="12.75">
      <c r="S703" s="140"/>
      <c r="T703" s="47" t="s">
        <v>713</v>
      </c>
      <c r="U703" s="47" t="s">
        <v>747</v>
      </c>
      <c r="V703" s="141">
        <v>180763</v>
      </c>
      <c r="W703" s="337"/>
    </row>
    <row r="704" spans="19:23" ht="12.75">
      <c r="S704" s="140"/>
      <c r="T704" s="47" t="s">
        <v>722</v>
      </c>
      <c r="U704" s="47" t="s">
        <v>1670</v>
      </c>
      <c r="V704" s="141">
        <v>197755</v>
      </c>
      <c r="W704" s="337"/>
    </row>
    <row r="705" spans="19:23" ht="12.75">
      <c r="S705" s="140"/>
      <c r="T705" s="47" t="s">
        <v>719</v>
      </c>
      <c r="U705" s="47" t="s">
        <v>1667</v>
      </c>
      <c r="V705" s="141">
        <v>204972</v>
      </c>
      <c r="W705" s="337"/>
    </row>
    <row r="706" spans="19:23" ht="12.75">
      <c r="S706" s="140"/>
      <c r="T706" s="47" t="s">
        <v>3086</v>
      </c>
      <c r="U706" s="47" t="s">
        <v>1673</v>
      </c>
      <c r="V706" s="141">
        <v>121785</v>
      </c>
      <c r="W706" s="337"/>
    </row>
    <row r="707" spans="19:23" ht="12.75">
      <c r="S707" s="140"/>
      <c r="T707" s="47" t="s">
        <v>3088</v>
      </c>
      <c r="U707" s="47" t="s">
        <v>1675</v>
      </c>
      <c r="V707" s="141">
        <v>127415</v>
      </c>
      <c r="W707" s="337"/>
    </row>
    <row r="708" spans="19:23" ht="12.75">
      <c r="S708" s="140"/>
      <c r="T708" s="47" t="s">
        <v>3087</v>
      </c>
      <c r="U708" s="47" t="s">
        <v>1674</v>
      </c>
      <c r="V708" s="141">
        <v>134633</v>
      </c>
      <c r="W708" s="337"/>
    </row>
    <row r="709" spans="19:23" ht="12.75">
      <c r="S709" s="140"/>
      <c r="T709" s="47" t="s">
        <v>3090</v>
      </c>
      <c r="U709" s="47" t="s">
        <v>1677</v>
      </c>
      <c r="V709" s="141">
        <v>151626</v>
      </c>
      <c r="W709" s="337"/>
    </row>
    <row r="710" spans="19:23" ht="12.75">
      <c r="S710" s="140"/>
      <c r="T710" s="47" t="s">
        <v>3089</v>
      </c>
      <c r="U710" s="47" t="s">
        <v>1676</v>
      </c>
      <c r="V710" s="141">
        <v>158842</v>
      </c>
      <c r="W710" s="337"/>
    </row>
    <row r="711" spans="19:23" ht="12.75">
      <c r="S711" s="140"/>
      <c r="T711" s="47" t="s">
        <v>1007</v>
      </c>
      <c r="U711" s="47" t="s">
        <v>1008</v>
      </c>
      <c r="V711" s="141">
        <v>248822</v>
      </c>
      <c r="W711" s="139"/>
    </row>
    <row r="712" spans="19:23" ht="12.75">
      <c r="S712" s="140"/>
      <c r="T712" s="47" t="s">
        <v>3091</v>
      </c>
      <c r="U712" s="47" t="s">
        <v>1678</v>
      </c>
      <c r="V712" s="141">
        <v>146126</v>
      </c>
      <c r="W712" s="337"/>
    </row>
    <row r="713" spans="19:23" ht="12.75">
      <c r="S713" s="140"/>
      <c r="T713" s="47" t="s">
        <v>3093</v>
      </c>
      <c r="U713" s="47" t="s">
        <v>1680</v>
      </c>
      <c r="V713" s="141">
        <v>151756</v>
      </c>
      <c r="W713" s="337"/>
    </row>
    <row r="714" spans="19:23" ht="12.75">
      <c r="S714" s="140"/>
      <c r="T714" s="47" t="s">
        <v>3092</v>
      </c>
      <c r="U714" s="47" t="s">
        <v>1679</v>
      </c>
      <c r="V714" s="141">
        <v>158973</v>
      </c>
      <c r="W714" s="337"/>
    </row>
    <row r="715" spans="19:23" ht="12.75">
      <c r="S715" s="140"/>
      <c r="T715" s="47" t="s">
        <v>3095</v>
      </c>
      <c r="U715" s="47" t="s">
        <v>1682</v>
      </c>
      <c r="V715" s="141">
        <v>175966</v>
      </c>
      <c r="W715" s="337"/>
    </row>
    <row r="716" spans="19:23" ht="12.75">
      <c r="S716" s="140"/>
      <c r="T716" s="47" t="s">
        <v>3094</v>
      </c>
      <c r="U716" s="47" t="s">
        <v>1681</v>
      </c>
      <c r="V716" s="141">
        <v>183183</v>
      </c>
      <c r="W716" s="337"/>
    </row>
    <row r="717" spans="19:23" ht="12.75">
      <c r="S717" s="140"/>
      <c r="T717" s="47" t="s">
        <v>1009</v>
      </c>
      <c r="U717" s="47" t="s">
        <v>1010</v>
      </c>
      <c r="V717" s="141">
        <v>273162</v>
      </c>
      <c r="W717" s="139"/>
    </row>
    <row r="718" spans="19:23" ht="12.75">
      <c r="S718" s="140"/>
      <c r="T718" s="47" t="s">
        <v>3096</v>
      </c>
      <c r="U718" s="47" t="s">
        <v>1683</v>
      </c>
      <c r="V718" s="141">
        <v>134469</v>
      </c>
      <c r="W718" s="337"/>
    </row>
    <row r="719" spans="19:23" ht="12.75">
      <c r="S719" s="140"/>
      <c r="T719" s="47" t="s">
        <v>3098</v>
      </c>
      <c r="U719" s="47" t="s">
        <v>1685</v>
      </c>
      <c r="V719" s="141">
        <v>140101</v>
      </c>
      <c r="W719" s="337"/>
    </row>
    <row r="720" spans="19:23" ht="12.75">
      <c r="S720" s="140"/>
      <c r="T720" s="47" t="s">
        <v>3097</v>
      </c>
      <c r="U720" s="47" t="s">
        <v>1684</v>
      </c>
      <c r="V720" s="141">
        <v>147317</v>
      </c>
      <c r="W720" s="337"/>
    </row>
    <row r="721" spans="19:23" ht="12.75">
      <c r="S721" s="140"/>
      <c r="T721" s="47" t="s">
        <v>3100</v>
      </c>
      <c r="U721" s="47" t="s">
        <v>1687</v>
      </c>
      <c r="V721" s="141">
        <v>164309</v>
      </c>
      <c r="W721" s="337"/>
    </row>
    <row r="722" spans="19:23" ht="12.75">
      <c r="S722" s="140"/>
      <c r="T722" s="47" t="s">
        <v>3099</v>
      </c>
      <c r="U722" s="47" t="s">
        <v>1686</v>
      </c>
      <c r="V722" s="141">
        <v>171526</v>
      </c>
      <c r="W722" s="337"/>
    </row>
    <row r="723" spans="19:23" ht="12.75">
      <c r="S723" s="140"/>
      <c r="T723" s="47" t="s">
        <v>1011</v>
      </c>
      <c r="U723" s="47" t="s">
        <v>1012</v>
      </c>
      <c r="V723" s="141">
        <v>261506</v>
      </c>
      <c r="W723" s="139"/>
    </row>
    <row r="724" spans="19:23" ht="12.75">
      <c r="S724" s="140"/>
      <c r="T724" s="47" t="s">
        <v>3101</v>
      </c>
      <c r="U724" s="47" t="s">
        <v>1688</v>
      </c>
      <c r="V724" s="141">
        <v>152242</v>
      </c>
      <c r="W724" s="337"/>
    </row>
    <row r="725" spans="19:23" ht="12.75">
      <c r="S725" s="140"/>
      <c r="T725" s="47" t="s">
        <v>3103</v>
      </c>
      <c r="U725" s="47" t="s">
        <v>4115</v>
      </c>
      <c r="V725" s="141">
        <v>157872</v>
      </c>
      <c r="W725" s="337"/>
    </row>
    <row r="726" spans="19:23" ht="12.75">
      <c r="S726" s="140"/>
      <c r="T726" s="47" t="s">
        <v>3102</v>
      </c>
      <c r="U726" s="47" t="s">
        <v>1689</v>
      </c>
      <c r="V726" s="141">
        <v>165090</v>
      </c>
      <c r="W726" s="337"/>
    </row>
    <row r="727" spans="19:23" ht="12.75">
      <c r="S727" s="140"/>
      <c r="T727" s="47" t="s">
        <v>3105</v>
      </c>
      <c r="U727" s="47" t="s">
        <v>4117</v>
      </c>
      <c r="V727" s="141">
        <v>182082</v>
      </c>
      <c r="W727" s="337"/>
    </row>
    <row r="728" spans="19:23" ht="12.75">
      <c r="S728" s="140"/>
      <c r="T728" s="47" t="s">
        <v>3104</v>
      </c>
      <c r="U728" s="47" t="s">
        <v>4116</v>
      </c>
      <c r="V728" s="141">
        <v>189299</v>
      </c>
      <c r="W728" s="337"/>
    </row>
    <row r="729" spans="19:23" ht="12.75">
      <c r="S729" s="140"/>
      <c r="T729" s="47" t="s">
        <v>1013</v>
      </c>
      <c r="U729" s="47" t="s">
        <v>1014</v>
      </c>
      <c r="V729" s="141">
        <v>279278</v>
      </c>
      <c r="W729" s="139"/>
    </row>
    <row r="730" spans="19:23" ht="12.75">
      <c r="S730" s="140"/>
      <c r="T730" s="47" t="s">
        <v>3106</v>
      </c>
      <c r="U730" s="47" t="s">
        <v>3970</v>
      </c>
      <c r="V730" s="141">
        <v>208052</v>
      </c>
      <c r="W730" s="337"/>
    </row>
    <row r="731" spans="19:23" ht="12.75">
      <c r="S731" s="140"/>
      <c r="T731" s="47" t="s">
        <v>3108</v>
      </c>
      <c r="U731" s="47" t="s">
        <v>3972</v>
      </c>
      <c r="V731" s="141">
        <v>213682</v>
      </c>
      <c r="W731" s="337"/>
    </row>
    <row r="732" spans="19:23" ht="12.75">
      <c r="S732" s="140"/>
      <c r="T732" s="47" t="s">
        <v>3107</v>
      </c>
      <c r="U732" s="47" t="s">
        <v>3971</v>
      </c>
      <c r="V732" s="141">
        <v>220900</v>
      </c>
      <c r="W732" s="337"/>
    </row>
    <row r="733" spans="19:23" ht="12.75">
      <c r="S733" s="140"/>
      <c r="T733" s="47" t="s">
        <v>3110</v>
      </c>
      <c r="U733" s="47" t="s">
        <v>779</v>
      </c>
      <c r="V733" s="141">
        <v>237890</v>
      </c>
      <c r="W733" s="337"/>
    </row>
    <row r="734" spans="19:23" ht="12.75">
      <c r="S734" s="140"/>
      <c r="T734" s="47" t="s">
        <v>3109</v>
      </c>
      <c r="U734" s="47" t="s">
        <v>3973</v>
      </c>
      <c r="V734" s="141">
        <v>245109</v>
      </c>
      <c r="W734" s="337"/>
    </row>
    <row r="735" spans="19:23" ht="12.75">
      <c r="S735" s="140"/>
      <c r="T735" s="47" t="s">
        <v>1015</v>
      </c>
      <c r="U735" s="47" t="s">
        <v>1016</v>
      </c>
      <c r="V735" s="141">
        <v>335088</v>
      </c>
      <c r="W735" s="139"/>
    </row>
    <row r="736" spans="19:23" ht="12.75">
      <c r="S736" s="140"/>
      <c r="T736" s="47" t="s">
        <v>3111</v>
      </c>
      <c r="U736" s="47" t="s">
        <v>2202</v>
      </c>
      <c r="V736" s="141">
        <v>160290</v>
      </c>
      <c r="W736" s="337"/>
    </row>
    <row r="737" spans="19:23" ht="12.75">
      <c r="S737" s="140"/>
      <c r="T737" s="47" t="s">
        <v>3113</v>
      </c>
      <c r="U737" s="47" t="s">
        <v>2204</v>
      </c>
      <c r="V737" s="141">
        <v>165921</v>
      </c>
      <c r="W737" s="337"/>
    </row>
    <row r="738" spans="19:23" ht="12.75">
      <c r="S738" s="140"/>
      <c r="T738" s="47" t="s">
        <v>3112</v>
      </c>
      <c r="U738" s="47" t="s">
        <v>2203</v>
      </c>
      <c r="V738" s="141">
        <v>173139</v>
      </c>
      <c r="W738" s="337"/>
    </row>
    <row r="739" spans="19:23" ht="12.75">
      <c r="S739" s="140"/>
      <c r="T739" s="47" t="s">
        <v>2459</v>
      </c>
      <c r="U739" s="47" t="s">
        <v>2206</v>
      </c>
      <c r="V739" s="141">
        <v>190130</v>
      </c>
      <c r="W739" s="337"/>
    </row>
    <row r="740" spans="19:23" ht="12.75">
      <c r="S740" s="140"/>
      <c r="T740" s="47" t="s">
        <v>3114</v>
      </c>
      <c r="U740" s="47" t="s">
        <v>2205</v>
      </c>
      <c r="V740" s="141">
        <v>197347</v>
      </c>
      <c r="W740" s="337"/>
    </row>
    <row r="741" spans="19:23" ht="12.75">
      <c r="S741" s="140"/>
      <c r="T741" s="47" t="s">
        <v>1017</v>
      </c>
      <c r="U741" s="47" t="s">
        <v>1018</v>
      </c>
      <c r="V741" s="141">
        <v>287327</v>
      </c>
      <c r="W741" s="139"/>
    </row>
    <row r="742" spans="19:23" ht="12.75">
      <c r="S742" s="140"/>
      <c r="T742" s="47" t="s">
        <v>2460</v>
      </c>
      <c r="U742" s="47" t="s">
        <v>4543</v>
      </c>
      <c r="V742" s="141">
        <v>194677</v>
      </c>
      <c r="W742" s="337"/>
    </row>
    <row r="743" spans="19:23" ht="12.75">
      <c r="S743" s="140"/>
      <c r="T743" s="47" t="s">
        <v>2462</v>
      </c>
      <c r="U743" s="47" t="s">
        <v>4545</v>
      </c>
      <c r="V743" s="141">
        <v>200307</v>
      </c>
      <c r="W743" s="337"/>
    </row>
    <row r="744" spans="19:23" ht="12.75">
      <c r="S744" s="140"/>
      <c r="T744" s="47" t="s">
        <v>2461</v>
      </c>
      <c r="U744" s="47" t="s">
        <v>4544</v>
      </c>
      <c r="V744" s="141">
        <v>207525</v>
      </c>
      <c r="W744" s="337"/>
    </row>
    <row r="745" spans="19:23" ht="12.75">
      <c r="S745" s="140"/>
      <c r="T745" s="47" t="s">
        <v>2464</v>
      </c>
      <c r="U745" s="47" t="s">
        <v>4547</v>
      </c>
      <c r="V745" s="141">
        <v>224517</v>
      </c>
      <c r="W745" s="337"/>
    </row>
    <row r="746" spans="19:23" ht="12.75">
      <c r="S746" s="140"/>
      <c r="T746" s="47" t="s">
        <v>2463</v>
      </c>
      <c r="U746" s="47" t="s">
        <v>4546</v>
      </c>
      <c r="V746" s="141">
        <v>231734</v>
      </c>
      <c r="W746" s="337"/>
    </row>
    <row r="747" spans="19:23" ht="12.75">
      <c r="S747" s="140"/>
      <c r="T747" s="47" t="s">
        <v>1019</v>
      </c>
      <c r="U747" s="47" t="s">
        <v>1020</v>
      </c>
      <c r="V747" s="141">
        <v>321714</v>
      </c>
      <c r="W747" s="139"/>
    </row>
    <row r="748" spans="19:23" ht="12.75">
      <c r="S748" s="140"/>
      <c r="T748" s="47" t="s">
        <v>2350</v>
      </c>
      <c r="U748" s="47" t="s">
        <v>1657</v>
      </c>
      <c r="V748" s="141">
        <v>38269</v>
      </c>
      <c r="W748" s="337"/>
    </row>
    <row r="749" spans="19:23" ht="12.75">
      <c r="S749" s="140"/>
      <c r="T749" s="47" t="s">
        <v>2351</v>
      </c>
      <c r="U749" s="47" t="s">
        <v>1551</v>
      </c>
      <c r="V749" s="141">
        <v>45823</v>
      </c>
      <c r="W749" s="337"/>
    </row>
    <row r="750" spans="19:23" ht="12.75">
      <c r="S750" s="140"/>
      <c r="T750" s="47" t="s">
        <v>2348</v>
      </c>
      <c r="U750" s="47" t="s">
        <v>1655</v>
      </c>
      <c r="V750" s="141">
        <v>54518</v>
      </c>
      <c r="W750" s="337"/>
    </row>
    <row r="751" spans="19:23" ht="12.75">
      <c r="S751" s="140"/>
      <c r="T751" s="47" t="s">
        <v>2349</v>
      </c>
      <c r="U751" s="47" t="s">
        <v>1656</v>
      </c>
      <c r="V751" s="141">
        <v>38269</v>
      </c>
      <c r="W751" s="337"/>
    </row>
    <row r="752" spans="19:23" ht="12.75">
      <c r="S752" s="140"/>
      <c r="T752" s="47" t="s">
        <v>4956</v>
      </c>
      <c r="U752" s="47" t="s">
        <v>4242</v>
      </c>
      <c r="V752" s="141">
        <v>42046</v>
      </c>
      <c r="W752" s="139"/>
    </row>
    <row r="753" spans="19:23" ht="12.75">
      <c r="S753" s="140"/>
      <c r="T753" s="47" t="s">
        <v>4955</v>
      </c>
      <c r="U753" s="47" t="s">
        <v>4241</v>
      </c>
      <c r="V753" s="141">
        <v>32286</v>
      </c>
      <c r="W753" s="139"/>
    </row>
    <row r="754" spans="19:23" ht="12.75">
      <c r="S754" s="140"/>
      <c r="T754" s="47" t="s">
        <v>4954</v>
      </c>
      <c r="U754" s="47" t="s">
        <v>4240</v>
      </c>
      <c r="V754" s="141">
        <v>39409</v>
      </c>
      <c r="W754" s="139"/>
    </row>
    <row r="755" spans="19:23" ht="12.75">
      <c r="S755" s="140"/>
      <c r="T755" s="47" t="s">
        <v>4953</v>
      </c>
      <c r="U755" s="47" t="s">
        <v>4239</v>
      </c>
      <c r="V755" s="141">
        <v>46394</v>
      </c>
      <c r="W755" s="139"/>
    </row>
    <row r="756" spans="19:23" ht="12.75">
      <c r="S756" s="140"/>
      <c r="T756" s="47" t="s">
        <v>1840</v>
      </c>
      <c r="U756" s="47" t="s">
        <v>4238</v>
      </c>
      <c r="V756" s="141">
        <v>29428</v>
      </c>
      <c r="W756" s="139"/>
    </row>
    <row r="757" spans="19:23" ht="12.75">
      <c r="S757" s="140"/>
      <c r="T757" s="47" t="s">
        <v>1838</v>
      </c>
      <c r="U757" s="47" t="s">
        <v>4236</v>
      </c>
      <c r="V757" s="141">
        <v>38269</v>
      </c>
      <c r="W757" s="139"/>
    </row>
    <row r="758" spans="19:23" ht="12.75">
      <c r="S758" s="140"/>
      <c r="T758" s="47" t="s">
        <v>1839</v>
      </c>
      <c r="U758" s="47" t="s">
        <v>4237</v>
      </c>
      <c r="V758" s="141">
        <v>32286</v>
      </c>
      <c r="W758" s="139"/>
    </row>
    <row r="759" spans="19:23" ht="12.75">
      <c r="S759" s="140"/>
      <c r="T759" s="47" t="s">
        <v>1828</v>
      </c>
      <c r="U759" s="47" t="s">
        <v>4226</v>
      </c>
      <c r="V759" s="141">
        <v>42046</v>
      </c>
      <c r="W759" s="139"/>
    </row>
    <row r="760" spans="19:23" ht="12.75">
      <c r="S760" s="140"/>
      <c r="T760" s="47" t="s">
        <v>1830</v>
      </c>
      <c r="U760" s="47" t="s">
        <v>4228</v>
      </c>
      <c r="V760" s="141">
        <v>38368</v>
      </c>
      <c r="W760" s="139"/>
    </row>
    <row r="761" spans="19:23" ht="12.75">
      <c r="S761" s="140"/>
      <c r="T761" s="47" t="s">
        <v>1823</v>
      </c>
      <c r="U761" s="47" t="s">
        <v>4221</v>
      </c>
      <c r="V761" s="141">
        <v>50170</v>
      </c>
      <c r="W761" s="139"/>
    </row>
    <row r="762" spans="19:23" ht="12.75">
      <c r="S762" s="140"/>
      <c r="T762" s="47" t="s">
        <v>1825</v>
      </c>
      <c r="U762" s="47" t="s">
        <v>4223</v>
      </c>
      <c r="V762" s="141">
        <v>32286</v>
      </c>
      <c r="W762" s="139"/>
    </row>
    <row r="763" spans="19:23" ht="12.75">
      <c r="S763" s="140"/>
      <c r="T763" s="47" t="s">
        <v>1826</v>
      </c>
      <c r="U763" s="47" t="s">
        <v>4224</v>
      </c>
      <c r="V763" s="141">
        <v>42046</v>
      </c>
      <c r="W763" s="139"/>
    </row>
    <row r="764" spans="19:23" ht="12.75">
      <c r="S764" s="140"/>
      <c r="T764" s="47" t="s">
        <v>1827</v>
      </c>
      <c r="U764" s="47" t="s">
        <v>4225</v>
      </c>
      <c r="V764" s="141">
        <v>39409</v>
      </c>
      <c r="W764" s="139"/>
    </row>
    <row r="765" spans="19:23" ht="12.75">
      <c r="S765" s="140"/>
      <c r="T765" s="47" t="s">
        <v>1837</v>
      </c>
      <c r="U765" s="47" t="s">
        <v>4235</v>
      </c>
      <c r="V765" s="141">
        <v>46394</v>
      </c>
      <c r="W765" s="139"/>
    </row>
    <row r="766" spans="19:23" ht="12.75">
      <c r="S766" s="140"/>
      <c r="T766" s="47" t="s">
        <v>1829</v>
      </c>
      <c r="U766" s="47" t="s">
        <v>4227</v>
      </c>
      <c r="V766" s="141">
        <v>38368</v>
      </c>
      <c r="W766" s="139"/>
    </row>
    <row r="767" spans="19:23" ht="12.75">
      <c r="S767" s="140"/>
      <c r="T767" s="47" t="s">
        <v>1822</v>
      </c>
      <c r="U767" s="47" t="s">
        <v>4220</v>
      </c>
      <c r="V767" s="141">
        <v>50170</v>
      </c>
      <c r="W767" s="139"/>
    </row>
    <row r="768" spans="19:23" ht="12.75">
      <c r="S768" s="140"/>
      <c r="T768" s="47" t="s">
        <v>1831</v>
      </c>
      <c r="U768" s="47" t="s">
        <v>4229</v>
      </c>
      <c r="V768" s="141">
        <v>35510</v>
      </c>
      <c r="W768" s="139"/>
    </row>
    <row r="769" spans="19:23" ht="12.75">
      <c r="S769" s="140"/>
      <c r="T769" s="47" t="s">
        <v>1821</v>
      </c>
      <c r="U769" s="47" t="s">
        <v>4219</v>
      </c>
      <c r="V769" s="141">
        <v>46394</v>
      </c>
      <c r="W769" s="139"/>
    </row>
    <row r="770" spans="19:23" ht="12.75">
      <c r="S770" s="140"/>
      <c r="T770" s="47" t="s">
        <v>1832</v>
      </c>
      <c r="U770" s="47" t="s">
        <v>4230</v>
      </c>
      <c r="V770" s="141">
        <v>29428</v>
      </c>
      <c r="W770" s="139"/>
    </row>
    <row r="771" spans="19:23" ht="12.75">
      <c r="S771" s="140"/>
      <c r="T771" s="47" t="s">
        <v>1834</v>
      </c>
      <c r="U771" s="47" t="s">
        <v>4232</v>
      </c>
      <c r="V771" s="141">
        <v>38269</v>
      </c>
      <c r="W771" s="139"/>
    </row>
    <row r="772" spans="19:23" ht="12.75">
      <c r="S772" s="140"/>
      <c r="T772" s="47" t="s">
        <v>1833</v>
      </c>
      <c r="U772" s="47" t="s">
        <v>4231</v>
      </c>
      <c r="V772" s="141">
        <v>32286</v>
      </c>
      <c r="W772" s="139"/>
    </row>
    <row r="773" spans="19:23" ht="12.75">
      <c r="S773" s="140"/>
      <c r="T773" s="47" t="s">
        <v>1835</v>
      </c>
      <c r="U773" s="47" t="s">
        <v>4233</v>
      </c>
      <c r="V773" s="141">
        <v>42046</v>
      </c>
      <c r="W773" s="139"/>
    </row>
    <row r="774" spans="19:23" ht="12.75">
      <c r="S774" s="140"/>
      <c r="T774" s="47" t="s">
        <v>1824</v>
      </c>
      <c r="U774" s="47" t="s">
        <v>4222</v>
      </c>
      <c r="V774" s="141">
        <v>35510</v>
      </c>
      <c r="W774" s="139"/>
    </row>
    <row r="775" spans="19:23" ht="12.75">
      <c r="S775" s="140"/>
      <c r="T775" s="47" t="s">
        <v>1836</v>
      </c>
      <c r="U775" s="47" t="s">
        <v>4234</v>
      </c>
      <c r="V775" s="141">
        <v>46394</v>
      </c>
      <c r="W775" s="139"/>
    </row>
    <row r="776" spans="19:23" ht="12.75">
      <c r="S776" s="140"/>
      <c r="T776" s="47" t="s">
        <v>2466</v>
      </c>
      <c r="U776" s="47" t="s">
        <v>4550</v>
      </c>
      <c r="V776" s="141">
        <v>97719</v>
      </c>
      <c r="W776" s="337"/>
    </row>
    <row r="777" spans="19:23" ht="12.75">
      <c r="S777" s="140"/>
      <c r="T777" s="47" t="s">
        <v>2472</v>
      </c>
      <c r="U777" s="47" t="s">
        <v>3831</v>
      </c>
      <c r="V777" s="141">
        <v>103348</v>
      </c>
      <c r="W777" s="337"/>
    </row>
    <row r="778" spans="19:23" ht="12.75">
      <c r="S778" s="140"/>
      <c r="T778" s="47" t="s">
        <v>2469</v>
      </c>
      <c r="U778" s="47" t="s">
        <v>4553</v>
      </c>
      <c r="V778" s="141">
        <v>110566</v>
      </c>
      <c r="W778" s="337"/>
    </row>
    <row r="779" spans="19:23" ht="12.75">
      <c r="S779" s="140"/>
      <c r="T779" s="47" t="s">
        <v>2478</v>
      </c>
      <c r="U779" s="47" t="s">
        <v>3467</v>
      </c>
      <c r="V779" s="141">
        <v>127557</v>
      </c>
      <c r="W779" s="337"/>
    </row>
    <row r="780" spans="19:23" ht="12.75">
      <c r="S780" s="140"/>
      <c r="T780" s="47" t="s">
        <v>2475</v>
      </c>
      <c r="U780" s="47" t="s">
        <v>3464</v>
      </c>
      <c r="V780" s="141">
        <v>134774</v>
      </c>
      <c r="W780" s="337"/>
    </row>
    <row r="781" spans="19:23" ht="12.75">
      <c r="S781" s="140"/>
      <c r="T781" s="47" t="s">
        <v>1021</v>
      </c>
      <c r="U781" s="47" t="s">
        <v>1022</v>
      </c>
      <c r="V781" s="141">
        <v>224753</v>
      </c>
      <c r="W781" s="139"/>
    </row>
    <row r="782" spans="19:23" ht="12.75">
      <c r="S782" s="140"/>
      <c r="T782" s="47" t="s">
        <v>2467</v>
      </c>
      <c r="U782" s="47" t="s">
        <v>4551</v>
      </c>
      <c r="V782" s="141">
        <v>112906</v>
      </c>
      <c r="W782" s="337"/>
    </row>
    <row r="783" spans="19:23" ht="12.75">
      <c r="S783" s="140"/>
      <c r="T783" s="47" t="s">
        <v>2473</v>
      </c>
      <c r="U783" s="47" t="s">
        <v>3462</v>
      </c>
      <c r="V783" s="141">
        <v>118535</v>
      </c>
      <c r="W783" s="337"/>
    </row>
    <row r="784" spans="19:23" ht="12.75">
      <c r="S784" s="140"/>
      <c r="T784" s="47" t="s">
        <v>2470</v>
      </c>
      <c r="U784" s="47" t="s">
        <v>3829</v>
      </c>
      <c r="V784" s="141">
        <v>125754</v>
      </c>
      <c r="W784" s="337"/>
    </row>
    <row r="785" spans="19:23" ht="12.75">
      <c r="S785" s="140"/>
      <c r="T785" s="47" t="s">
        <v>2479</v>
      </c>
      <c r="U785" s="47" t="s">
        <v>3468</v>
      </c>
      <c r="V785" s="141">
        <v>142744</v>
      </c>
      <c r="W785" s="337"/>
    </row>
    <row r="786" spans="19:23" ht="12.75">
      <c r="S786" s="140"/>
      <c r="T786" s="47" t="s">
        <v>2476</v>
      </c>
      <c r="U786" s="47" t="s">
        <v>3465</v>
      </c>
      <c r="V786" s="141">
        <v>149961</v>
      </c>
      <c r="W786" s="337"/>
    </row>
    <row r="787" spans="19:23" ht="12.75">
      <c r="S787" s="140"/>
      <c r="T787" s="47" t="s">
        <v>2465</v>
      </c>
      <c r="U787" s="47" t="s">
        <v>4548</v>
      </c>
      <c r="V787" s="141">
        <v>116376</v>
      </c>
      <c r="W787" s="337"/>
    </row>
    <row r="788" spans="19:23" ht="12.75">
      <c r="S788" s="140"/>
      <c r="T788" s="47" t="s">
        <v>2471</v>
      </c>
      <c r="U788" s="47" t="s">
        <v>3830</v>
      </c>
      <c r="V788" s="141">
        <v>122005</v>
      </c>
      <c r="W788" s="337"/>
    </row>
    <row r="789" spans="19:23" ht="12.75">
      <c r="S789" s="140"/>
      <c r="T789" s="47" t="s">
        <v>2468</v>
      </c>
      <c r="U789" s="47" t="s">
        <v>4552</v>
      </c>
      <c r="V789" s="141">
        <v>129223</v>
      </c>
      <c r="W789" s="337"/>
    </row>
    <row r="790" spans="19:23" ht="12.75">
      <c r="S790" s="140"/>
      <c r="T790" s="47" t="s">
        <v>2477</v>
      </c>
      <c r="U790" s="47" t="s">
        <v>3466</v>
      </c>
      <c r="V790" s="141">
        <v>146214</v>
      </c>
      <c r="W790" s="337"/>
    </row>
    <row r="791" spans="19:23" ht="12.75">
      <c r="S791" s="140"/>
      <c r="T791" s="47" t="s">
        <v>2474</v>
      </c>
      <c r="U791" s="47" t="s">
        <v>3463</v>
      </c>
      <c r="V791" s="141">
        <v>153433</v>
      </c>
      <c r="W791" s="337"/>
    </row>
    <row r="792" spans="19:23" ht="12.75">
      <c r="S792" s="140"/>
      <c r="T792" s="47" t="s">
        <v>2481</v>
      </c>
      <c r="U792" s="47" t="s">
        <v>3471</v>
      </c>
      <c r="V792" s="141">
        <v>102920</v>
      </c>
      <c r="W792" s="337"/>
    </row>
    <row r="793" spans="19:23" ht="12.75">
      <c r="S793" s="140"/>
      <c r="T793" s="47" t="s">
        <v>2489</v>
      </c>
      <c r="U793" s="47" t="s">
        <v>4516</v>
      </c>
      <c r="V793" s="141">
        <v>108552</v>
      </c>
      <c r="W793" s="337"/>
    </row>
    <row r="794" spans="19:23" ht="12.75">
      <c r="S794" s="140"/>
      <c r="T794" s="47" t="s">
        <v>2487</v>
      </c>
      <c r="U794" s="47" t="s">
        <v>4514</v>
      </c>
      <c r="V794" s="141">
        <v>108550</v>
      </c>
      <c r="W794" s="337"/>
    </row>
    <row r="795" spans="19:23" ht="12.75">
      <c r="S795" s="140"/>
      <c r="T795" s="47" t="s">
        <v>2484</v>
      </c>
      <c r="U795" s="47" t="s">
        <v>4511</v>
      </c>
      <c r="V795" s="141">
        <v>115769</v>
      </c>
      <c r="W795" s="337"/>
    </row>
    <row r="796" spans="19:23" ht="12.75">
      <c r="S796" s="140"/>
      <c r="T796" s="47" t="s">
        <v>2494</v>
      </c>
      <c r="U796" s="47" t="s">
        <v>4539</v>
      </c>
      <c r="V796" s="141">
        <v>132759</v>
      </c>
      <c r="W796" s="337"/>
    </row>
    <row r="797" spans="19:23" ht="12.75">
      <c r="S797" s="140"/>
      <c r="T797" s="47" t="s">
        <v>2491</v>
      </c>
      <c r="U797" s="47" t="s">
        <v>4536</v>
      </c>
      <c r="V797" s="141">
        <v>139977</v>
      </c>
      <c r="W797" s="337"/>
    </row>
    <row r="798" spans="19:23" ht="12.75">
      <c r="S798" s="140"/>
      <c r="T798" s="47" t="s">
        <v>1023</v>
      </c>
      <c r="U798" s="47" t="s">
        <v>1024</v>
      </c>
      <c r="V798" s="141">
        <v>229957</v>
      </c>
      <c r="W798" s="139"/>
    </row>
    <row r="799" spans="19:23" ht="12.75">
      <c r="S799" s="140"/>
      <c r="T799" s="47" t="s">
        <v>2482</v>
      </c>
      <c r="U799" s="47" t="s">
        <v>3472</v>
      </c>
      <c r="V799" s="141">
        <v>118107</v>
      </c>
      <c r="W799" s="337"/>
    </row>
    <row r="800" spans="19:23" ht="12.75">
      <c r="S800" s="140"/>
      <c r="T800" s="47" t="s">
        <v>2488</v>
      </c>
      <c r="U800" s="47" t="s">
        <v>4515</v>
      </c>
      <c r="V800" s="141">
        <v>123738</v>
      </c>
      <c r="W800" s="337"/>
    </row>
    <row r="801" spans="19:23" ht="12.75">
      <c r="S801" s="140"/>
      <c r="T801" s="47" t="s">
        <v>2485</v>
      </c>
      <c r="U801" s="47" t="s">
        <v>4512</v>
      </c>
      <c r="V801" s="141">
        <v>130955</v>
      </c>
      <c r="W801" s="337"/>
    </row>
    <row r="802" spans="19:23" ht="12.75">
      <c r="S802" s="140"/>
      <c r="T802" s="47" t="s">
        <v>2495</v>
      </c>
      <c r="U802" s="47" t="s">
        <v>644</v>
      </c>
      <c r="V802" s="141">
        <v>147947</v>
      </c>
      <c r="W802" s="337"/>
    </row>
    <row r="803" spans="19:23" ht="12.75">
      <c r="S803" s="140"/>
      <c r="T803" s="47" t="s">
        <v>2492</v>
      </c>
      <c r="U803" s="47" t="s">
        <v>4537</v>
      </c>
      <c r="V803" s="141">
        <v>155165</v>
      </c>
      <c r="W803" s="337"/>
    </row>
    <row r="804" spans="19:23" ht="12.75">
      <c r="S804" s="140"/>
      <c r="T804" s="47" t="s">
        <v>2480</v>
      </c>
      <c r="U804" s="47" t="s">
        <v>3469</v>
      </c>
      <c r="V804" s="141">
        <v>121577</v>
      </c>
      <c r="W804" s="337"/>
    </row>
    <row r="805" spans="19:23" ht="12.75">
      <c r="S805" s="140"/>
      <c r="T805" s="47" t="s">
        <v>2486</v>
      </c>
      <c r="U805" s="47" t="s">
        <v>4513</v>
      </c>
      <c r="V805" s="141">
        <v>127207</v>
      </c>
      <c r="W805" s="337"/>
    </row>
    <row r="806" spans="19:23" ht="12.75">
      <c r="S806" s="140"/>
      <c r="T806" s="47" t="s">
        <v>2483</v>
      </c>
      <c r="U806" s="47" t="s">
        <v>4510</v>
      </c>
      <c r="V806" s="141">
        <v>134426</v>
      </c>
      <c r="W806" s="337"/>
    </row>
    <row r="807" spans="19:23" ht="12.75">
      <c r="S807" s="140"/>
      <c r="T807" s="47" t="s">
        <v>2493</v>
      </c>
      <c r="U807" s="47" t="s">
        <v>4538</v>
      </c>
      <c r="V807" s="141">
        <v>151417</v>
      </c>
      <c r="W807" s="337"/>
    </row>
    <row r="808" spans="19:23" ht="12.75">
      <c r="S808" s="140"/>
      <c r="T808" s="47" t="s">
        <v>2490</v>
      </c>
      <c r="U808" s="47" t="s">
        <v>4535</v>
      </c>
      <c r="V808" s="141">
        <v>158634</v>
      </c>
      <c r="W808" s="337"/>
    </row>
    <row r="809" spans="19:23" ht="12.75">
      <c r="S809" s="140"/>
      <c r="T809" s="47" t="s">
        <v>2497</v>
      </c>
      <c r="U809" s="47" t="s">
        <v>646</v>
      </c>
      <c r="V809" s="141">
        <v>126299</v>
      </c>
      <c r="W809" s="337"/>
    </row>
    <row r="810" spans="19:23" ht="12.75">
      <c r="S810" s="140"/>
      <c r="T810" s="47" t="s">
        <v>2503</v>
      </c>
      <c r="U810" s="47" t="s">
        <v>3949</v>
      </c>
      <c r="V810" s="141">
        <v>131929</v>
      </c>
      <c r="W810" s="337"/>
    </row>
    <row r="811" spans="19:23" ht="12.75">
      <c r="S811" s="140"/>
      <c r="T811" s="47" t="s">
        <v>2500</v>
      </c>
      <c r="U811" s="47" t="s">
        <v>3946</v>
      </c>
      <c r="V811" s="141">
        <v>139145</v>
      </c>
      <c r="W811" s="337"/>
    </row>
    <row r="812" spans="19:23" ht="12.75">
      <c r="S812" s="140"/>
      <c r="T812" s="47" t="s">
        <v>2509</v>
      </c>
      <c r="U812" s="47" t="s">
        <v>3955</v>
      </c>
      <c r="V812" s="141">
        <v>156137</v>
      </c>
      <c r="W812" s="337"/>
    </row>
    <row r="813" spans="19:23" ht="12.75">
      <c r="S813" s="140"/>
      <c r="T813" s="47" t="s">
        <v>2506</v>
      </c>
      <c r="U813" s="47" t="s">
        <v>3952</v>
      </c>
      <c r="V813" s="141">
        <v>163356</v>
      </c>
      <c r="W813" s="337"/>
    </row>
    <row r="814" spans="19:23" ht="12.75">
      <c r="S814" s="140"/>
      <c r="T814" s="47" t="s">
        <v>1025</v>
      </c>
      <c r="U814" s="47" t="s">
        <v>1026</v>
      </c>
      <c r="V814" s="141">
        <v>253335</v>
      </c>
      <c r="W814" s="139"/>
    </row>
    <row r="815" spans="19:23" ht="12.75">
      <c r="S815" s="140"/>
      <c r="T815" s="47" t="s">
        <v>2498</v>
      </c>
      <c r="U815" s="47" t="s">
        <v>3944</v>
      </c>
      <c r="V815" s="141">
        <v>141485</v>
      </c>
      <c r="W815" s="337"/>
    </row>
    <row r="816" spans="19:23" ht="12.75">
      <c r="S816" s="140"/>
      <c r="T816" s="47" t="s">
        <v>2504</v>
      </c>
      <c r="U816" s="47" t="s">
        <v>3950</v>
      </c>
      <c r="V816" s="141">
        <v>147115</v>
      </c>
      <c r="W816" s="337"/>
    </row>
    <row r="817" spans="19:23" ht="12.75">
      <c r="S817" s="140"/>
      <c r="T817" s="47" t="s">
        <v>2501</v>
      </c>
      <c r="U817" s="47" t="s">
        <v>3947</v>
      </c>
      <c r="V817" s="141">
        <v>154332</v>
      </c>
      <c r="W817" s="337"/>
    </row>
    <row r="818" spans="19:23" ht="12.75">
      <c r="S818" s="140"/>
      <c r="T818" s="47" t="s">
        <v>2510</v>
      </c>
      <c r="U818" s="47" t="s">
        <v>3956</v>
      </c>
      <c r="V818" s="141">
        <v>171323</v>
      </c>
      <c r="W818" s="337"/>
    </row>
    <row r="819" spans="19:23" ht="12.75">
      <c r="S819" s="140"/>
      <c r="T819" s="47" t="s">
        <v>2507</v>
      </c>
      <c r="U819" s="47" t="s">
        <v>3953</v>
      </c>
      <c r="V819" s="141">
        <v>178541</v>
      </c>
      <c r="W819" s="337"/>
    </row>
    <row r="820" spans="19:23" ht="12.75">
      <c r="S820" s="140"/>
      <c r="T820" s="47" t="s">
        <v>2496</v>
      </c>
      <c r="U820" s="47" t="s">
        <v>645</v>
      </c>
      <c r="V820" s="141">
        <v>144956</v>
      </c>
      <c r="W820" s="337"/>
    </row>
    <row r="821" spans="19:23" ht="12.75">
      <c r="S821" s="140"/>
      <c r="T821" s="47" t="s">
        <v>2502</v>
      </c>
      <c r="U821" s="47" t="s">
        <v>3948</v>
      </c>
      <c r="V821" s="141">
        <v>150585</v>
      </c>
      <c r="W821" s="337"/>
    </row>
    <row r="822" spans="19:23" ht="12.75">
      <c r="S822" s="140"/>
      <c r="T822" s="47" t="s">
        <v>2499</v>
      </c>
      <c r="U822" s="47" t="s">
        <v>3945</v>
      </c>
      <c r="V822" s="141">
        <v>157804</v>
      </c>
      <c r="W822" s="338"/>
    </row>
    <row r="823" spans="19:23" ht="12.75">
      <c r="S823" s="140"/>
      <c r="T823" s="47" t="s">
        <v>2508</v>
      </c>
      <c r="U823" s="47" t="s">
        <v>3954</v>
      </c>
      <c r="V823" s="141">
        <v>174793</v>
      </c>
      <c r="W823" s="337"/>
    </row>
    <row r="824" spans="19:23" ht="12.75">
      <c r="S824" s="140"/>
      <c r="T824" s="47" t="s">
        <v>2505</v>
      </c>
      <c r="U824" s="47" t="s">
        <v>3951</v>
      </c>
      <c r="V824" s="141">
        <v>182013</v>
      </c>
      <c r="W824" s="337"/>
    </row>
    <row r="825" spans="19:23" ht="12.75">
      <c r="S825" s="140"/>
      <c r="T825" s="47" t="s">
        <v>2512</v>
      </c>
      <c r="U825" s="47" t="s">
        <v>3958</v>
      </c>
      <c r="V825" s="141">
        <v>129069</v>
      </c>
      <c r="W825" s="339"/>
    </row>
    <row r="826" spans="19:23" ht="12.75">
      <c r="S826" s="140"/>
      <c r="T826" s="47" t="s">
        <v>2518</v>
      </c>
      <c r="U826" s="47" t="s">
        <v>3964</v>
      </c>
      <c r="V826" s="141">
        <v>134701</v>
      </c>
      <c r="W826" s="339"/>
    </row>
    <row r="827" spans="19:23" ht="12.75">
      <c r="S827" s="140"/>
      <c r="T827" s="47" t="s">
        <v>2515</v>
      </c>
      <c r="U827" s="47" t="s">
        <v>3961</v>
      </c>
      <c r="V827" s="141">
        <v>141916</v>
      </c>
      <c r="W827" s="339"/>
    </row>
    <row r="828" spans="19:23" ht="12.75">
      <c r="S828" s="140"/>
      <c r="T828" s="47" t="s">
        <v>2524</v>
      </c>
      <c r="U828" s="47" t="s">
        <v>579</v>
      </c>
      <c r="V828" s="141">
        <v>158909</v>
      </c>
      <c r="W828" s="339"/>
    </row>
    <row r="829" spans="19:23" ht="12.75">
      <c r="S829" s="140"/>
      <c r="T829" s="47" t="s">
        <v>2521</v>
      </c>
      <c r="U829" s="47" t="s">
        <v>3967</v>
      </c>
      <c r="V829" s="141">
        <v>166125</v>
      </c>
      <c r="W829" s="339"/>
    </row>
    <row r="830" spans="19:23" ht="12.75">
      <c r="S830" s="140"/>
      <c r="T830" s="47" t="s">
        <v>1027</v>
      </c>
      <c r="U830" s="47" t="s">
        <v>1028</v>
      </c>
      <c r="V830" s="141">
        <v>256105</v>
      </c>
      <c r="W830" s="139"/>
    </row>
    <row r="831" spans="19:23" ht="12.75">
      <c r="S831" s="140"/>
      <c r="T831" s="47" t="s">
        <v>2513</v>
      </c>
      <c r="U831" s="47" t="s">
        <v>3959</v>
      </c>
      <c r="V831" s="141">
        <v>144256</v>
      </c>
      <c r="W831" s="339"/>
    </row>
    <row r="832" spans="19:23" ht="12.75">
      <c r="S832" s="140"/>
      <c r="T832" s="47" t="s">
        <v>2519</v>
      </c>
      <c r="U832" s="47" t="s">
        <v>3965</v>
      </c>
      <c r="V832" s="141">
        <v>149886</v>
      </c>
      <c r="W832" s="339"/>
    </row>
    <row r="833" spans="19:23" ht="12.75">
      <c r="S833" s="140"/>
      <c r="T833" s="47" t="s">
        <v>2516</v>
      </c>
      <c r="U833" s="47" t="s">
        <v>3962</v>
      </c>
      <c r="V833" s="141">
        <v>157104</v>
      </c>
      <c r="W833" s="339"/>
    </row>
    <row r="834" spans="19:23" ht="12.75">
      <c r="S834" s="140"/>
      <c r="T834" s="47" t="s">
        <v>2525</v>
      </c>
      <c r="U834" s="47" t="s">
        <v>580</v>
      </c>
      <c r="V834" s="141">
        <v>174096</v>
      </c>
      <c r="W834" s="339"/>
    </row>
    <row r="835" spans="19:23" ht="12.75">
      <c r="S835" s="140"/>
      <c r="T835" s="47" t="s">
        <v>2522</v>
      </c>
      <c r="U835" s="47" t="s">
        <v>3968</v>
      </c>
      <c r="V835" s="141">
        <v>181313</v>
      </c>
      <c r="W835" s="339"/>
    </row>
    <row r="836" spans="19:23" ht="12.75">
      <c r="S836" s="140"/>
      <c r="T836" s="47" t="s">
        <v>2511</v>
      </c>
      <c r="U836" s="47" t="s">
        <v>3957</v>
      </c>
      <c r="V836" s="141">
        <v>147727</v>
      </c>
      <c r="W836" s="339"/>
    </row>
    <row r="837" spans="19:23" ht="12.75">
      <c r="S837" s="140"/>
      <c r="T837" s="47" t="s">
        <v>2517</v>
      </c>
      <c r="U837" s="47" t="s">
        <v>3963</v>
      </c>
      <c r="V837" s="141">
        <v>153358</v>
      </c>
      <c r="W837" s="339"/>
    </row>
    <row r="838" spans="19:23" ht="12.75">
      <c r="S838" s="140"/>
      <c r="T838" s="47" t="s">
        <v>2514</v>
      </c>
      <c r="U838" s="47" t="s">
        <v>3960</v>
      </c>
      <c r="V838" s="141">
        <v>160575</v>
      </c>
      <c r="W838" s="339"/>
    </row>
    <row r="839" spans="19:23" ht="12.75">
      <c r="S839" s="140"/>
      <c r="T839" s="47" t="s">
        <v>2523</v>
      </c>
      <c r="U839" s="47" t="s">
        <v>3969</v>
      </c>
      <c r="V839" s="141">
        <v>177566</v>
      </c>
      <c r="W839" s="339"/>
    </row>
    <row r="840" spans="19:23" ht="12.75">
      <c r="S840" s="140"/>
      <c r="T840" s="47" t="s">
        <v>2520</v>
      </c>
      <c r="U840" s="47" t="s">
        <v>3966</v>
      </c>
      <c r="V840" s="141">
        <v>184783</v>
      </c>
      <c r="W840" s="339"/>
    </row>
    <row r="841" spans="19:23" ht="12.75">
      <c r="S841" s="140"/>
      <c r="T841" s="47" t="s">
        <v>2527</v>
      </c>
      <c r="U841" s="47" t="s">
        <v>3977</v>
      </c>
      <c r="V841" s="141">
        <v>133133</v>
      </c>
      <c r="W841" s="337"/>
    </row>
    <row r="842" spans="19:23" ht="12.75">
      <c r="S842" s="140"/>
      <c r="T842" s="47" t="s">
        <v>2533</v>
      </c>
      <c r="U842" s="47" t="s">
        <v>3983</v>
      </c>
      <c r="V842" s="141">
        <v>138764</v>
      </c>
      <c r="W842" s="337"/>
    </row>
    <row r="843" spans="19:23" ht="12.75">
      <c r="S843" s="140"/>
      <c r="T843" s="47" t="s">
        <v>2530</v>
      </c>
      <c r="U843" s="47" t="s">
        <v>3980</v>
      </c>
      <c r="V843" s="141">
        <v>145979</v>
      </c>
      <c r="W843" s="337"/>
    </row>
    <row r="844" spans="19:23" ht="12.75">
      <c r="S844" s="140"/>
      <c r="T844" s="47" t="s">
        <v>2539</v>
      </c>
      <c r="U844" s="47" t="s">
        <v>3989</v>
      </c>
      <c r="V844" s="141">
        <v>162973</v>
      </c>
      <c r="W844" s="337"/>
    </row>
    <row r="845" spans="19:23" ht="12.75">
      <c r="S845" s="140"/>
      <c r="T845" s="47" t="s">
        <v>2536</v>
      </c>
      <c r="U845" s="47" t="s">
        <v>3986</v>
      </c>
      <c r="V845" s="141">
        <v>170188</v>
      </c>
      <c r="W845" s="337"/>
    </row>
    <row r="846" spans="19:23" ht="12.75">
      <c r="S846" s="140"/>
      <c r="T846" s="47" t="s">
        <v>1029</v>
      </c>
      <c r="U846" s="47" t="s">
        <v>1030</v>
      </c>
      <c r="V846" s="141">
        <v>260168</v>
      </c>
      <c r="W846" s="139"/>
    </row>
    <row r="847" spans="19:23" ht="12.75">
      <c r="S847" s="140"/>
      <c r="T847" s="47" t="s">
        <v>2528</v>
      </c>
      <c r="U847" s="47" t="s">
        <v>3978</v>
      </c>
      <c r="V847" s="141">
        <v>148320</v>
      </c>
      <c r="W847" s="337"/>
    </row>
    <row r="848" spans="19:23" ht="12.75">
      <c r="S848" s="140"/>
      <c r="T848" s="47" t="s">
        <v>2534</v>
      </c>
      <c r="U848" s="47" t="s">
        <v>3984</v>
      </c>
      <c r="V848" s="141">
        <v>153950</v>
      </c>
      <c r="W848" s="337"/>
    </row>
    <row r="849" spans="19:23" ht="12.75">
      <c r="S849" s="140"/>
      <c r="T849" s="47" t="s">
        <v>2531</v>
      </c>
      <c r="U849" s="47" t="s">
        <v>3981</v>
      </c>
      <c r="V849" s="141">
        <v>161166</v>
      </c>
      <c r="W849" s="337"/>
    </row>
    <row r="850" spans="19:23" ht="12.75">
      <c r="S850" s="140"/>
      <c r="T850" s="47" t="s">
        <v>2540</v>
      </c>
      <c r="U850" s="47" t="s">
        <v>3990</v>
      </c>
      <c r="V850" s="141">
        <v>178159</v>
      </c>
      <c r="W850" s="337"/>
    </row>
    <row r="851" spans="19:23" ht="12.75">
      <c r="S851" s="140"/>
      <c r="T851" s="47" t="s">
        <v>2537</v>
      </c>
      <c r="U851" s="47" t="s">
        <v>3987</v>
      </c>
      <c r="V851" s="141">
        <v>185375</v>
      </c>
      <c r="W851" s="337"/>
    </row>
    <row r="852" spans="19:23" ht="12.75">
      <c r="S852" s="140"/>
      <c r="T852" s="47" t="s">
        <v>2526</v>
      </c>
      <c r="U852" s="47" t="s">
        <v>3976</v>
      </c>
      <c r="V852" s="141">
        <v>151790</v>
      </c>
      <c r="W852" s="337"/>
    </row>
    <row r="853" spans="19:23" ht="12.75">
      <c r="S853" s="140"/>
      <c r="T853" s="47" t="s">
        <v>2532</v>
      </c>
      <c r="U853" s="47" t="s">
        <v>3982</v>
      </c>
      <c r="V853" s="141">
        <v>157420</v>
      </c>
      <c r="W853" s="337"/>
    </row>
    <row r="854" spans="19:23" ht="12.75">
      <c r="S854" s="140"/>
      <c r="T854" s="47" t="s">
        <v>2529</v>
      </c>
      <c r="U854" s="47" t="s">
        <v>3979</v>
      </c>
      <c r="V854" s="141">
        <v>164637</v>
      </c>
      <c r="W854" s="337"/>
    </row>
    <row r="855" spans="19:23" ht="12.75">
      <c r="S855" s="140"/>
      <c r="T855" s="47" t="s">
        <v>2538</v>
      </c>
      <c r="U855" s="47" t="s">
        <v>3988</v>
      </c>
      <c r="V855" s="141">
        <v>181629</v>
      </c>
      <c r="W855" s="337"/>
    </row>
    <row r="856" spans="19:23" ht="12.75">
      <c r="S856" s="140"/>
      <c r="T856" s="47" t="s">
        <v>2535</v>
      </c>
      <c r="U856" s="47" t="s">
        <v>3985</v>
      </c>
      <c r="V856" s="141">
        <v>188846</v>
      </c>
      <c r="W856" s="337"/>
    </row>
    <row r="857" spans="19:23" ht="12.75">
      <c r="S857" s="140"/>
      <c r="T857" s="47" t="s">
        <v>2542</v>
      </c>
      <c r="U857" s="47" t="s">
        <v>3992</v>
      </c>
      <c r="V857" s="141">
        <v>158947</v>
      </c>
      <c r="W857" s="139"/>
    </row>
    <row r="858" spans="19:23" ht="12.75">
      <c r="S858" s="140"/>
      <c r="T858" s="47" t="s">
        <v>2548</v>
      </c>
      <c r="U858" s="47" t="s">
        <v>3116</v>
      </c>
      <c r="V858" s="141">
        <v>164577</v>
      </c>
      <c r="W858" s="139"/>
    </row>
    <row r="859" spans="19:23" ht="12.75">
      <c r="S859" s="140"/>
      <c r="T859" s="47" t="s">
        <v>2545</v>
      </c>
      <c r="U859" s="47" t="s">
        <v>3995</v>
      </c>
      <c r="V859" s="141">
        <v>171793</v>
      </c>
      <c r="W859" s="139"/>
    </row>
    <row r="860" spans="19:23" ht="12.75">
      <c r="S860" s="140"/>
      <c r="T860" s="47" t="s">
        <v>2554</v>
      </c>
      <c r="U860" s="47" t="s">
        <v>3122</v>
      </c>
      <c r="V860" s="141">
        <v>188785</v>
      </c>
      <c r="W860" s="139"/>
    </row>
    <row r="861" spans="19:23" ht="12.75">
      <c r="S861" s="140"/>
      <c r="T861" s="47" t="s">
        <v>2551</v>
      </c>
      <c r="U861" s="47" t="s">
        <v>3119</v>
      </c>
      <c r="V861" s="141">
        <v>196002</v>
      </c>
      <c r="W861" s="139"/>
    </row>
    <row r="862" spans="19:23" ht="12.75">
      <c r="S862" s="140"/>
      <c r="T862" s="47" t="s">
        <v>1031</v>
      </c>
      <c r="U862" s="47" t="s">
        <v>1032</v>
      </c>
      <c r="V862" s="141">
        <v>285982</v>
      </c>
      <c r="W862" s="139"/>
    </row>
    <row r="863" spans="19:23" ht="12.75">
      <c r="S863" s="140"/>
      <c r="T863" s="47" t="s">
        <v>2543</v>
      </c>
      <c r="U863" s="47" t="s">
        <v>3993</v>
      </c>
      <c r="V863" s="141">
        <v>174134</v>
      </c>
      <c r="W863" s="139"/>
    </row>
    <row r="864" spans="19:23" ht="12.75">
      <c r="S864" s="140"/>
      <c r="T864" s="47" t="s">
        <v>2549</v>
      </c>
      <c r="U864" s="47" t="s">
        <v>3117</v>
      </c>
      <c r="V864" s="141">
        <v>179764</v>
      </c>
      <c r="W864" s="139"/>
    </row>
    <row r="865" spans="19:23" ht="12.75">
      <c r="S865" s="140"/>
      <c r="T865" s="47" t="s">
        <v>2546</v>
      </c>
      <c r="U865" s="47" t="s">
        <v>3996</v>
      </c>
      <c r="V865" s="141">
        <v>186980</v>
      </c>
      <c r="W865" s="139"/>
    </row>
    <row r="866" spans="19:23" ht="12.75">
      <c r="S866" s="140"/>
      <c r="T866" s="47" t="s">
        <v>2555</v>
      </c>
      <c r="U866" s="47" t="s">
        <v>3123</v>
      </c>
      <c r="V866" s="141">
        <v>203972</v>
      </c>
      <c r="W866" s="139"/>
    </row>
    <row r="867" spans="19:23" ht="12.75">
      <c r="S867" s="140"/>
      <c r="T867" s="47" t="s">
        <v>2552</v>
      </c>
      <c r="U867" s="47" t="s">
        <v>3120</v>
      </c>
      <c r="V867" s="141">
        <v>211190</v>
      </c>
      <c r="W867" s="139"/>
    </row>
    <row r="868" spans="19:23" ht="12.75">
      <c r="S868" s="140"/>
      <c r="T868" s="47" t="s">
        <v>2541</v>
      </c>
      <c r="U868" s="47" t="s">
        <v>3991</v>
      </c>
      <c r="V868" s="141">
        <v>177604</v>
      </c>
      <c r="W868" s="139"/>
    </row>
    <row r="869" spans="19:23" ht="12.75">
      <c r="S869" s="140"/>
      <c r="T869" s="47" t="s">
        <v>2547</v>
      </c>
      <c r="U869" s="47" t="s">
        <v>3115</v>
      </c>
      <c r="V869" s="141">
        <v>183234</v>
      </c>
      <c r="W869" s="139"/>
    </row>
    <row r="870" spans="19:23" ht="12.75">
      <c r="S870" s="140"/>
      <c r="T870" s="47" t="s">
        <v>2544</v>
      </c>
      <c r="U870" s="47" t="s">
        <v>3994</v>
      </c>
      <c r="V870" s="141">
        <v>190450</v>
      </c>
      <c r="W870" s="139"/>
    </row>
    <row r="871" spans="19:23" ht="12.75">
      <c r="S871" s="140"/>
      <c r="T871" s="47" t="s">
        <v>2553</v>
      </c>
      <c r="U871" s="47" t="s">
        <v>3121</v>
      </c>
      <c r="V871" s="141">
        <v>207442</v>
      </c>
      <c r="W871" s="139"/>
    </row>
    <row r="872" spans="19:23" ht="12.75">
      <c r="S872" s="140"/>
      <c r="T872" s="47" t="s">
        <v>2550</v>
      </c>
      <c r="U872" s="47" t="s">
        <v>3118</v>
      </c>
      <c r="V872" s="141">
        <v>214660</v>
      </c>
      <c r="W872" s="139"/>
    </row>
    <row r="873" spans="19:23" ht="12.75">
      <c r="S873" s="140"/>
      <c r="T873" s="47" t="s">
        <v>2557</v>
      </c>
      <c r="U873" s="47" t="s">
        <v>3126</v>
      </c>
      <c r="V873" s="141">
        <v>163152</v>
      </c>
      <c r="W873" s="139"/>
    </row>
    <row r="874" spans="19:23" ht="12.75">
      <c r="S874" s="140"/>
      <c r="T874" s="47" t="s">
        <v>2563</v>
      </c>
      <c r="U874" s="47" t="s">
        <v>3132</v>
      </c>
      <c r="V874" s="141">
        <v>168781</v>
      </c>
      <c r="W874" s="139"/>
    </row>
    <row r="875" spans="19:23" ht="12.75">
      <c r="S875" s="140"/>
      <c r="T875" s="47" t="s">
        <v>2560</v>
      </c>
      <c r="U875" s="47" t="s">
        <v>3129</v>
      </c>
      <c r="V875" s="141">
        <v>175999</v>
      </c>
      <c r="W875" s="139"/>
    </row>
    <row r="876" spans="19:23" ht="12.75">
      <c r="S876" s="140"/>
      <c r="T876" s="47" t="s">
        <v>2569</v>
      </c>
      <c r="U876" s="47" t="s">
        <v>3138</v>
      </c>
      <c r="V876" s="141">
        <v>192990</v>
      </c>
      <c r="W876" s="139"/>
    </row>
    <row r="877" spans="19:23" ht="12.75">
      <c r="S877" s="140"/>
      <c r="T877" s="47" t="s">
        <v>2566</v>
      </c>
      <c r="U877" s="47" t="s">
        <v>3135</v>
      </c>
      <c r="V877" s="141">
        <v>200208</v>
      </c>
      <c r="W877" s="139"/>
    </row>
    <row r="878" spans="19:23" ht="12.75">
      <c r="S878" s="140"/>
      <c r="T878" s="47" t="s">
        <v>1033</v>
      </c>
      <c r="U878" s="47" t="s">
        <v>1034</v>
      </c>
      <c r="V878" s="141">
        <v>290187</v>
      </c>
      <c r="W878" s="139"/>
    </row>
    <row r="879" spans="19:23" ht="12.75">
      <c r="S879" s="140"/>
      <c r="T879" s="47" t="s">
        <v>2558</v>
      </c>
      <c r="U879" s="47" t="s">
        <v>3127</v>
      </c>
      <c r="V879" s="141">
        <v>178338</v>
      </c>
      <c r="W879" s="139"/>
    </row>
    <row r="880" spans="19:23" ht="12.75">
      <c r="S880" s="140"/>
      <c r="T880" s="47" t="s">
        <v>2564</v>
      </c>
      <c r="U880" s="47" t="s">
        <v>3133</v>
      </c>
      <c r="V880" s="141">
        <v>183968</v>
      </c>
      <c r="W880" s="139"/>
    </row>
    <row r="881" spans="19:23" ht="12.75">
      <c r="S881" s="140"/>
      <c r="T881" s="47" t="s">
        <v>2561</v>
      </c>
      <c r="U881" s="47" t="s">
        <v>3130</v>
      </c>
      <c r="V881" s="141">
        <v>191185</v>
      </c>
      <c r="W881" s="139"/>
    </row>
    <row r="882" spans="19:23" ht="12.75">
      <c r="S882" s="140"/>
      <c r="T882" s="47" t="s">
        <v>2570</v>
      </c>
      <c r="U882" s="47" t="s">
        <v>3139</v>
      </c>
      <c r="V882" s="141">
        <v>208178</v>
      </c>
      <c r="W882" s="139"/>
    </row>
    <row r="883" spans="19:23" ht="12.75">
      <c r="S883" s="140"/>
      <c r="T883" s="47" t="s">
        <v>2567</v>
      </c>
      <c r="U883" s="47" t="s">
        <v>3136</v>
      </c>
      <c r="V883" s="141">
        <v>215395</v>
      </c>
      <c r="W883" s="139"/>
    </row>
    <row r="884" spans="19:23" ht="12.75">
      <c r="S884" s="140"/>
      <c r="T884" s="47" t="s">
        <v>2556</v>
      </c>
      <c r="U884" s="47" t="s">
        <v>3124</v>
      </c>
      <c r="V884" s="141">
        <v>181809</v>
      </c>
      <c r="W884" s="139"/>
    </row>
    <row r="885" spans="19:23" ht="12.75">
      <c r="S885" s="140"/>
      <c r="T885" s="47" t="s">
        <v>2562</v>
      </c>
      <c r="U885" s="47" t="s">
        <v>3131</v>
      </c>
      <c r="V885" s="141">
        <v>187439</v>
      </c>
      <c r="W885" s="139"/>
    </row>
    <row r="886" spans="19:23" ht="12.75">
      <c r="S886" s="140"/>
      <c r="T886" s="47" t="s">
        <v>2559</v>
      </c>
      <c r="U886" s="47" t="s">
        <v>3128</v>
      </c>
      <c r="V886" s="141">
        <v>194657</v>
      </c>
      <c r="W886" s="139"/>
    </row>
    <row r="887" spans="19:23" ht="12.75">
      <c r="S887" s="140"/>
      <c r="T887" s="47" t="s">
        <v>2568</v>
      </c>
      <c r="U887" s="47" t="s">
        <v>3137</v>
      </c>
      <c r="V887" s="141">
        <v>211647</v>
      </c>
      <c r="W887" s="139"/>
    </row>
    <row r="888" spans="19:23" ht="12.75">
      <c r="S888" s="140"/>
      <c r="T888" s="47" t="s">
        <v>2565</v>
      </c>
      <c r="U888" s="47" t="s">
        <v>3134</v>
      </c>
      <c r="V888" s="141">
        <v>218865</v>
      </c>
      <c r="W888" s="139"/>
    </row>
    <row r="889" spans="19:23" ht="12.75">
      <c r="S889" s="140"/>
      <c r="T889" s="47" t="s">
        <v>2572</v>
      </c>
      <c r="U889" s="47" t="s">
        <v>3357</v>
      </c>
      <c r="V889" s="141">
        <v>145305</v>
      </c>
      <c r="W889" s="337"/>
    </row>
    <row r="890" spans="19:23" ht="12.75">
      <c r="S890" s="140"/>
      <c r="T890" s="47" t="s">
        <v>2578</v>
      </c>
      <c r="U890" s="47" t="s">
        <v>2106</v>
      </c>
      <c r="V890" s="141">
        <v>150936</v>
      </c>
      <c r="W890" s="337"/>
    </row>
    <row r="891" spans="19:23" ht="12.75">
      <c r="S891" s="140"/>
      <c r="T891" s="47" t="s">
        <v>2575</v>
      </c>
      <c r="U891" s="47" t="s">
        <v>2103</v>
      </c>
      <c r="V891" s="141">
        <v>158152</v>
      </c>
      <c r="W891" s="337"/>
    </row>
    <row r="892" spans="19:23" ht="12.75">
      <c r="S892" s="140"/>
      <c r="T892" s="47" t="s">
        <v>2800</v>
      </c>
      <c r="U892" s="47" t="s">
        <v>2112</v>
      </c>
      <c r="V892" s="141">
        <v>175145</v>
      </c>
      <c r="W892" s="337"/>
    </row>
    <row r="893" spans="19:23" ht="12.75">
      <c r="S893" s="140"/>
      <c r="T893" s="47" t="s">
        <v>2797</v>
      </c>
      <c r="U893" s="47" t="s">
        <v>2109</v>
      </c>
      <c r="V893" s="141">
        <v>182362</v>
      </c>
      <c r="W893" s="337"/>
    </row>
    <row r="894" spans="19:23" ht="12.75">
      <c r="S894" s="140"/>
      <c r="T894" s="47" t="s">
        <v>1035</v>
      </c>
      <c r="U894" s="47" t="s">
        <v>1036</v>
      </c>
      <c r="V894" s="141">
        <v>272341</v>
      </c>
      <c r="W894" s="139"/>
    </row>
    <row r="895" spans="19:23" ht="12.75">
      <c r="S895" s="140"/>
      <c r="T895" s="47" t="s">
        <v>2573</v>
      </c>
      <c r="U895" s="47" t="s">
        <v>3358</v>
      </c>
      <c r="V895" s="141">
        <v>160493</v>
      </c>
      <c r="W895" s="337"/>
    </row>
    <row r="896" spans="19:23" ht="12.75">
      <c r="S896" s="140"/>
      <c r="T896" s="47" t="s">
        <v>2579</v>
      </c>
      <c r="U896" s="47" t="s">
        <v>2107</v>
      </c>
      <c r="V896" s="141">
        <v>166123</v>
      </c>
      <c r="W896" s="337"/>
    </row>
    <row r="897" spans="19:23" ht="12.75">
      <c r="S897" s="140"/>
      <c r="T897" s="47" t="s">
        <v>2576</v>
      </c>
      <c r="U897" s="47" t="s">
        <v>2104</v>
      </c>
      <c r="V897" s="141">
        <v>173340</v>
      </c>
      <c r="W897" s="337"/>
    </row>
    <row r="898" spans="19:23" ht="12.75">
      <c r="S898" s="140"/>
      <c r="T898" s="47" t="s">
        <v>2801</v>
      </c>
      <c r="U898" s="47" t="s">
        <v>574</v>
      </c>
      <c r="V898" s="141">
        <v>190332</v>
      </c>
      <c r="W898" s="337"/>
    </row>
    <row r="899" spans="19:23" ht="12.75">
      <c r="S899" s="140"/>
      <c r="T899" s="47" t="s">
        <v>2798</v>
      </c>
      <c r="U899" s="47" t="s">
        <v>2110</v>
      </c>
      <c r="V899" s="141">
        <v>197549</v>
      </c>
      <c r="W899" s="337"/>
    </row>
    <row r="900" spans="19:23" ht="12.75">
      <c r="S900" s="140"/>
      <c r="T900" s="47" t="s">
        <v>2571</v>
      </c>
      <c r="U900" s="47" t="s">
        <v>3140</v>
      </c>
      <c r="V900" s="141">
        <v>163963</v>
      </c>
      <c r="W900" s="337"/>
    </row>
    <row r="901" spans="19:23" ht="12.75">
      <c r="S901" s="140"/>
      <c r="T901" s="47" t="s">
        <v>2577</v>
      </c>
      <c r="U901" s="47" t="s">
        <v>2105</v>
      </c>
      <c r="V901" s="141">
        <v>169593</v>
      </c>
      <c r="W901" s="337"/>
    </row>
    <row r="902" spans="19:23" ht="12.75">
      <c r="S902" s="140"/>
      <c r="T902" s="47" t="s">
        <v>2574</v>
      </c>
      <c r="U902" s="47" t="s">
        <v>2102</v>
      </c>
      <c r="V902" s="141">
        <v>176811</v>
      </c>
      <c r="W902" s="337"/>
    </row>
    <row r="903" spans="19:23" ht="12.75">
      <c r="S903" s="140"/>
      <c r="T903" s="47" t="s">
        <v>2799</v>
      </c>
      <c r="U903" s="47" t="s">
        <v>2111</v>
      </c>
      <c r="V903" s="141">
        <v>193802</v>
      </c>
      <c r="W903" s="337"/>
    </row>
    <row r="904" spans="19:23" ht="12.75">
      <c r="S904" s="140"/>
      <c r="T904" s="47" t="s">
        <v>2580</v>
      </c>
      <c r="U904" s="47" t="s">
        <v>2108</v>
      </c>
      <c r="V904" s="141">
        <v>201019</v>
      </c>
      <c r="W904" s="337"/>
    </row>
    <row r="905" spans="19:23" ht="12.75">
      <c r="S905" s="140"/>
      <c r="T905" s="47" t="s">
        <v>3150</v>
      </c>
      <c r="U905" s="47" t="s">
        <v>576</v>
      </c>
      <c r="V905" s="141">
        <v>171913</v>
      </c>
      <c r="W905" s="337"/>
    </row>
    <row r="906" spans="19:23" ht="12.75">
      <c r="S906" s="140"/>
      <c r="T906" s="47" t="s">
        <v>3156</v>
      </c>
      <c r="U906" s="47" t="s">
        <v>3937</v>
      </c>
      <c r="V906" s="141">
        <v>177545</v>
      </c>
      <c r="W906" s="337"/>
    </row>
    <row r="907" spans="19:23" ht="12.75">
      <c r="S907" s="140"/>
      <c r="T907" s="47" t="s">
        <v>3153</v>
      </c>
      <c r="U907" s="47" t="s">
        <v>4118</v>
      </c>
      <c r="V907" s="141">
        <v>184761</v>
      </c>
      <c r="W907" s="337"/>
    </row>
    <row r="908" spans="19:23" ht="12.75">
      <c r="S908" s="140"/>
      <c r="T908" s="47" t="s">
        <v>3162</v>
      </c>
      <c r="U908" s="47" t="s">
        <v>3943</v>
      </c>
      <c r="V908" s="141">
        <v>201753</v>
      </c>
      <c r="W908" s="337"/>
    </row>
    <row r="909" spans="19:23" ht="12.75">
      <c r="S909" s="140"/>
      <c r="T909" s="47" t="s">
        <v>3159</v>
      </c>
      <c r="U909" s="47" t="s">
        <v>3940</v>
      </c>
      <c r="V909" s="141">
        <v>208970</v>
      </c>
      <c r="W909" s="337"/>
    </row>
    <row r="910" spans="19:23" ht="12.75">
      <c r="S910" s="140"/>
      <c r="T910" s="47" t="s">
        <v>1037</v>
      </c>
      <c r="U910" s="47" t="s">
        <v>1038</v>
      </c>
      <c r="V910" s="141">
        <v>298950</v>
      </c>
      <c r="W910" s="139"/>
    </row>
    <row r="911" spans="19:23" ht="12.75">
      <c r="S911" s="140"/>
      <c r="T911" s="47" t="s">
        <v>3151</v>
      </c>
      <c r="U911" s="47" t="s">
        <v>577</v>
      </c>
      <c r="V911" s="141">
        <v>187101</v>
      </c>
      <c r="W911" s="337"/>
    </row>
    <row r="912" spans="19:23" ht="12.75">
      <c r="S912" s="140"/>
      <c r="T912" s="47" t="s">
        <v>3157</v>
      </c>
      <c r="U912" s="47" t="s">
        <v>3938</v>
      </c>
      <c r="V912" s="141">
        <v>192731</v>
      </c>
      <c r="W912" s="337"/>
    </row>
    <row r="913" spans="19:23" ht="12.75">
      <c r="S913" s="140"/>
      <c r="T913" s="47" t="s">
        <v>3154</v>
      </c>
      <c r="U913" s="47" t="s">
        <v>4119</v>
      </c>
      <c r="V913" s="141">
        <v>199948</v>
      </c>
      <c r="W913" s="337"/>
    </row>
    <row r="914" spans="19:23" ht="12.75">
      <c r="S914" s="140"/>
      <c r="T914" s="47" t="s">
        <v>3163</v>
      </c>
      <c r="U914" s="47" t="s">
        <v>1658</v>
      </c>
      <c r="V914" s="141">
        <v>216940</v>
      </c>
      <c r="W914" s="337"/>
    </row>
    <row r="915" spans="19:23" ht="12.75">
      <c r="S915" s="140"/>
      <c r="T915" s="47" t="s">
        <v>3160</v>
      </c>
      <c r="U915" s="47" t="s">
        <v>3941</v>
      </c>
      <c r="V915" s="141">
        <v>224158</v>
      </c>
      <c r="W915" s="337"/>
    </row>
    <row r="916" spans="19:23" ht="12.75">
      <c r="S916" s="140"/>
      <c r="T916" s="47" t="s">
        <v>2802</v>
      </c>
      <c r="U916" s="47" t="s">
        <v>575</v>
      </c>
      <c r="V916" s="141">
        <v>190572</v>
      </c>
      <c r="W916" s="337"/>
    </row>
    <row r="917" spans="19:23" ht="12.75">
      <c r="S917" s="140"/>
      <c r="T917" s="47" t="s">
        <v>3155</v>
      </c>
      <c r="U917" s="47" t="s">
        <v>4120</v>
      </c>
      <c r="V917" s="141">
        <v>196201</v>
      </c>
      <c r="W917" s="337"/>
    </row>
    <row r="918" spans="19:23" ht="12.75">
      <c r="S918" s="140"/>
      <c r="T918" s="47" t="s">
        <v>3152</v>
      </c>
      <c r="U918" s="47" t="s">
        <v>578</v>
      </c>
      <c r="V918" s="141">
        <v>203418</v>
      </c>
      <c r="W918" s="337"/>
    </row>
    <row r="919" spans="19:23" ht="12.75">
      <c r="S919" s="140"/>
      <c r="T919" s="47" t="s">
        <v>3161</v>
      </c>
      <c r="U919" s="47" t="s">
        <v>3942</v>
      </c>
      <c r="V919" s="141">
        <v>220410</v>
      </c>
      <c r="W919" s="337"/>
    </row>
    <row r="920" spans="19:23" ht="12.75">
      <c r="S920" s="140"/>
      <c r="T920" s="47" t="s">
        <v>3158</v>
      </c>
      <c r="U920" s="47" t="s">
        <v>3939</v>
      </c>
      <c r="V920" s="141">
        <v>227629</v>
      </c>
      <c r="W920" s="337"/>
    </row>
    <row r="921" spans="19:23" ht="12.75">
      <c r="S921" s="140"/>
      <c r="T921" s="47" t="s">
        <v>3165</v>
      </c>
      <c r="U921" s="47" t="s">
        <v>1660</v>
      </c>
      <c r="V921" s="141">
        <v>200159</v>
      </c>
      <c r="W921" s="139"/>
    </row>
    <row r="922" spans="19:23" ht="12.75">
      <c r="S922" s="140"/>
      <c r="T922" s="47" t="s">
        <v>1323</v>
      </c>
      <c r="U922" s="47" t="s">
        <v>2433</v>
      </c>
      <c r="V922" s="141">
        <v>205790</v>
      </c>
      <c r="W922" s="139"/>
    </row>
    <row r="923" spans="19:23" ht="12.75">
      <c r="S923" s="140"/>
      <c r="T923" s="47" t="s">
        <v>3168</v>
      </c>
      <c r="U923" s="47" t="s">
        <v>1663</v>
      </c>
      <c r="V923" s="141">
        <v>213008</v>
      </c>
      <c r="W923" s="139"/>
    </row>
    <row r="924" spans="19:23" ht="12.75">
      <c r="S924" s="140"/>
      <c r="T924" s="47" t="s">
        <v>1594</v>
      </c>
      <c r="U924" s="47" t="s">
        <v>2439</v>
      </c>
      <c r="V924" s="141">
        <v>229999</v>
      </c>
      <c r="W924" s="139"/>
    </row>
    <row r="925" spans="19:23" ht="12.75">
      <c r="S925" s="140"/>
      <c r="T925" s="47" t="s">
        <v>1591</v>
      </c>
      <c r="U925" s="47" t="s">
        <v>2436</v>
      </c>
      <c r="V925" s="141">
        <v>237216</v>
      </c>
      <c r="W925" s="139"/>
    </row>
    <row r="926" spans="19:23" ht="12.75">
      <c r="S926" s="140"/>
      <c r="T926" s="47" t="s">
        <v>1039</v>
      </c>
      <c r="U926" s="47" t="s">
        <v>1040</v>
      </c>
      <c r="V926" s="141">
        <v>327196</v>
      </c>
      <c r="W926" s="139"/>
    </row>
    <row r="927" spans="19:23" ht="12.75">
      <c r="S927" s="140"/>
      <c r="T927" s="47" t="s">
        <v>3166</v>
      </c>
      <c r="U927" s="47" t="s">
        <v>1661</v>
      </c>
      <c r="V927" s="141">
        <v>215346</v>
      </c>
      <c r="W927" s="139"/>
    </row>
    <row r="928" spans="19:23" ht="12.75">
      <c r="S928" s="140"/>
      <c r="T928" s="47" t="s">
        <v>1324</v>
      </c>
      <c r="U928" s="47" t="s">
        <v>2434</v>
      </c>
      <c r="V928" s="141">
        <v>220976</v>
      </c>
      <c r="W928" s="139"/>
    </row>
    <row r="929" spans="19:23" ht="12.75">
      <c r="S929" s="140"/>
      <c r="T929" s="47" t="s">
        <v>3169</v>
      </c>
      <c r="U929" s="47" t="s">
        <v>1664</v>
      </c>
      <c r="V929" s="141">
        <v>228195</v>
      </c>
      <c r="W929" s="139"/>
    </row>
    <row r="930" spans="19:23" ht="12.75">
      <c r="S930" s="140"/>
      <c r="T930" s="47" t="s">
        <v>1595</v>
      </c>
      <c r="U930" s="47" t="s">
        <v>2440</v>
      </c>
      <c r="V930" s="141">
        <v>245187</v>
      </c>
      <c r="W930" s="139"/>
    </row>
    <row r="931" spans="19:23" ht="12.75">
      <c r="S931" s="140"/>
      <c r="T931" s="47" t="s">
        <v>1592</v>
      </c>
      <c r="U931" s="47" t="s">
        <v>2437</v>
      </c>
      <c r="V931" s="141">
        <v>252404</v>
      </c>
      <c r="W931" s="139"/>
    </row>
    <row r="932" spans="19:23" ht="12.75">
      <c r="S932" s="140"/>
      <c r="T932" s="47" t="s">
        <v>3164</v>
      </c>
      <c r="U932" s="47" t="s">
        <v>1659</v>
      </c>
      <c r="V932" s="141">
        <v>218817</v>
      </c>
      <c r="W932" s="139"/>
    </row>
    <row r="933" spans="19:23" ht="12.75">
      <c r="S933" s="140"/>
      <c r="T933" s="47" t="s">
        <v>1322</v>
      </c>
      <c r="U933" s="47" t="s">
        <v>2140</v>
      </c>
      <c r="V933" s="141">
        <v>224447</v>
      </c>
      <c r="W933" s="139"/>
    </row>
    <row r="934" spans="19:23" ht="12.75">
      <c r="S934" s="140"/>
      <c r="T934" s="47" t="s">
        <v>3167</v>
      </c>
      <c r="U934" s="47" t="s">
        <v>1662</v>
      </c>
      <c r="V934" s="141">
        <v>231665</v>
      </c>
      <c r="W934" s="139"/>
    </row>
    <row r="935" spans="19:23" ht="12.75">
      <c r="S935" s="140"/>
      <c r="T935" s="47" t="s">
        <v>1593</v>
      </c>
      <c r="U935" s="47" t="s">
        <v>2438</v>
      </c>
      <c r="V935" s="141">
        <v>248656</v>
      </c>
      <c r="W935" s="139"/>
    </row>
    <row r="936" spans="19:23" ht="12.75">
      <c r="S936" s="140"/>
      <c r="T936" s="47" t="s">
        <v>1325</v>
      </c>
      <c r="U936" s="47" t="s">
        <v>2435</v>
      </c>
      <c r="V936" s="141">
        <v>255874</v>
      </c>
      <c r="W936" s="139"/>
    </row>
    <row r="937" spans="19:23" ht="12.75">
      <c r="S937" s="140"/>
      <c r="T937" s="47" t="s">
        <v>1597</v>
      </c>
      <c r="U937" s="47" t="s">
        <v>2155</v>
      </c>
      <c r="V937" s="141">
        <v>202533</v>
      </c>
      <c r="W937" s="139"/>
    </row>
    <row r="938" spans="19:23" ht="12.75">
      <c r="S938" s="140"/>
      <c r="T938" s="47" t="s">
        <v>1603</v>
      </c>
      <c r="U938" s="47" t="s">
        <v>4683</v>
      </c>
      <c r="V938" s="141">
        <v>208163</v>
      </c>
      <c r="W938" s="139"/>
    </row>
    <row r="939" spans="19:23" ht="12.75">
      <c r="S939" s="140"/>
      <c r="T939" s="47" t="s">
        <v>1600</v>
      </c>
      <c r="U939" s="47" t="s">
        <v>2158</v>
      </c>
      <c r="V939" s="141">
        <v>215381</v>
      </c>
      <c r="W939" s="139"/>
    </row>
    <row r="940" spans="19:23" ht="12.75">
      <c r="S940" s="140"/>
      <c r="T940" s="47" t="s">
        <v>1126</v>
      </c>
      <c r="U940" s="47" t="s">
        <v>4689</v>
      </c>
      <c r="V940" s="141">
        <v>232372</v>
      </c>
      <c r="W940" s="139"/>
    </row>
    <row r="941" spans="19:23" ht="12.75">
      <c r="S941" s="140"/>
      <c r="T941" s="47" t="s">
        <v>1606</v>
      </c>
      <c r="U941" s="47" t="s">
        <v>4686</v>
      </c>
      <c r="V941" s="141">
        <v>239590</v>
      </c>
      <c r="W941" s="139"/>
    </row>
    <row r="942" spans="19:23" ht="12.75">
      <c r="S942" s="140"/>
      <c r="T942" s="47" t="s">
        <v>1041</v>
      </c>
      <c r="U942" s="47" t="s">
        <v>1042</v>
      </c>
      <c r="V942" s="141">
        <v>329569</v>
      </c>
      <c r="W942" s="139"/>
    </row>
    <row r="943" spans="19:23" ht="12.75">
      <c r="S943" s="140"/>
      <c r="T943" s="47" t="s">
        <v>1598</v>
      </c>
      <c r="U943" s="47" t="s">
        <v>2156</v>
      </c>
      <c r="V943" s="141">
        <v>217720</v>
      </c>
      <c r="W943" s="139"/>
    </row>
    <row r="944" spans="19:23" ht="12.75">
      <c r="S944" s="140"/>
      <c r="T944" s="47" t="s">
        <v>1604</v>
      </c>
      <c r="U944" s="47" t="s">
        <v>4684</v>
      </c>
      <c r="V944" s="141">
        <v>223350</v>
      </c>
      <c r="W944" s="139"/>
    </row>
    <row r="945" spans="19:23" ht="12.75">
      <c r="S945" s="140"/>
      <c r="T945" s="47" t="s">
        <v>1601</v>
      </c>
      <c r="U945" s="47" t="s">
        <v>4681</v>
      </c>
      <c r="V945" s="141">
        <v>230568</v>
      </c>
      <c r="W945" s="139"/>
    </row>
    <row r="946" spans="19:23" ht="12.75">
      <c r="S946" s="140"/>
      <c r="T946" s="47" t="s">
        <v>1127</v>
      </c>
      <c r="U946" s="47" t="s">
        <v>4690</v>
      </c>
      <c r="V946" s="141">
        <v>247560</v>
      </c>
      <c r="W946" s="139"/>
    </row>
    <row r="947" spans="19:23" ht="12.75">
      <c r="S947" s="140"/>
      <c r="T947" s="47" t="s">
        <v>1607</v>
      </c>
      <c r="U947" s="47" t="s">
        <v>4687</v>
      </c>
      <c r="V947" s="141">
        <v>254777</v>
      </c>
      <c r="W947" s="139"/>
    </row>
    <row r="948" spans="19:23" ht="12.75">
      <c r="S948" s="140"/>
      <c r="T948" s="47" t="s">
        <v>1596</v>
      </c>
      <c r="U948" s="47" t="s">
        <v>2154</v>
      </c>
      <c r="V948" s="141">
        <v>221190</v>
      </c>
      <c r="W948" s="139"/>
    </row>
    <row r="949" spans="19:23" ht="12.75">
      <c r="S949" s="140"/>
      <c r="T949" s="47" t="s">
        <v>1602</v>
      </c>
      <c r="U949" s="47" t="s">
        <v>4682</v>
      </c>
      <c r="V949" s="141">
        <v>226821</v>
      </c>
      <c r="W949" s="139"/>
    </row>
    <row r="950" spans="19:23" ht="12.75">
      <c r="S950" s="140"/>
      <c r="T950" s="47" t="s">
        <v>1599</v>
      </c>
      <c r="U950" s="47" t="s">
        <v>2157</v>
      </c>
      <c r="V950" s="141">
        <v>234038</v>
      </c>
      <c r="W950" s="139"/>
    </row>
    <row r="951" spans="19:23" ht="12.75">
      <c r="S951" s="140"/>
      <c r="T951" s="47" t="s">
        <v>1125</v>
      </c>
      <c r="U951" s="47" t="s">
        <v>4688</v>
      </c>
      <c r="V951" s="141">
        <v>251030</v>
      </c>
      <c r="W951" s="139"/>
    </row>
    <row r="952" spans="19:23" ht="12.75">
      <c r="S952" s="140"/>
      <c r="T952" s="47" t="s">
        <v>1605</v>
      </c>
      <c r="U952" s="47" t="s">
        <v>4685</v>
      </c>
      <c r="V952" s="141">
        <v>258246</v>
      </c>
      <c r="W952" s="139"/>
    </row>
    <row r="953" spans="19:23" ht="12.75">
      <c r="S953" s="140"/>
      <c r="T953" s="47" t="s">
        <v>1129</v>
      </c>
      <c r="U953" s="47" t="s">
        <v>4692</v>
      </c>
      <c r="V953" s="141">
        <v>159704</v>
      </c>
      <c r="W953" s="337"/>
    </row>
    <row r="954" spans="19:23" ht="12.75">
      <c r="S954" s="140"/>
      <c r="T954" s="47" t="s">
        <v>1135</v>
      </c>
      <c r="U954" s="47" t="s">
        <v>3975</v>
      </c>
      <c r="V954" s="141">
        <v>165336</v>
      </c>
      <c r="W954" s="337"/>
    </row>
    <row r="955" spans="19:23" ht="12.75">
      <c r="S955" s="140"/>
      <c r="T955" s="47" t="s">
        <v>1132</v>
      </c>
      <c r="U955" s="47" t="s">
        <v>4695</v>
      </c>
      <c r="V955" s="141">
        <v>172553</v>
      </c>
      <c r="W955" s="337"/>
    </row>
    <row r="956" spans="19:23" ht="12.75">
      <c r="S956" s="140"/>
      <c r="T956" s="47" t="s">
        <v>1141</v>
      </c>
      <c r="U956" s="47" t="s">
        <v>2159</v>
      </c>
      <c r="V956" s="141">
        <v>189544</v>
      </c>
      <c r="W956" s="337"/>
    </row>
    <row r="957" spans="19:23" ht="12.75">
      <c r="S957" s="140"/>
      <c r="T957" s="47" t="s">
        <v>1138</v>
      </c>
      <c r="U957" s="47" t="s">
        <v>3826</v>
      </c>
      <c r="V957" s="141">
        <v>196761</v>
      </c>
      <c r="W957" s="337"/>
    </row>
    <row r="958" spans="19:23" ht="12.75">
      <c r="S958" s="140"/>
      <c r="T958" s="47" t="s">
        <v>1043</v>
      </c>
      <c r="U958" s="47" t="s">
        <v>1044</v>
      </c>
      <c r="V958" s="141">
        <v>286741</v>
      </c>
      <c r="W958" s="139"/>
    </row>
    <row r="959" spans="19:23" ht="12.75">
      <c r="S959" s="140"/>
      <c r="T959" s="47" t="s">
        <v>1130</v>
      </c>
      <c r="U959" s="47" t="s">
        <v>4693</v>
      </c>
      <c r="V959" s="141">
        <v>174892</v>
      </c>
      <c r="W959" s="337"/>
    </row>
    <row r="960" spans="19:23" ht="12.75">
      <c r="S960" s="140"/>
      <c r="T960" s="47" t="s">
        <v>1136</v>
      </c>
      <c r="U960" s="47" t="s">
        <v>3824</v>
      </c>
      <c r="V960" s="141">
        <v>180522</v>
      </c>
      <c r="W960" s="337"/>
    </row>
    <row r="961" spans="19:23" ht="12.75">
      <c r="S961" s="140"/>
      <c r="T961" s="47" t="s">
        <v>1133</v>
      </c>
      <c r="U961" s="47" t="s">
        <v>4696</v>
      </c>
      <c r="V961" s="141">
        <v>187740</v>
      </c>
      <c r="W961" s="337"/>
    </row>
    <row r="962" spans="19:23" ht="12.75">
      <c r="S962" s="140"/>
      <c r="T962" s="47" t="s">
        <v>1142</v>
      </c>
      <c r="U962" s="47" t="s">
        <v>2160</v>
      </c>
      <c r="V962" s="141">
        <v>204731</v>
      </c>
      <c r="W962" s="337"/>
    </row>
    <row r="963" spans="19:23" ht="12.75">
      <c r="S963" s="140"/>
      <c r="T963" s="47" t="s">
        <v>1139</v>
      </c>
      <c r="U963" s="47" t="s">
        <v>3827</v>
      </c>
      <c r="V963" s="141">
        <v>211949</v>
      </c>
      <c r="W963" s="337"/>
    </row>
    <row r="964" spans="19:23" ht="12.75">
      <c r="S964" s="140"/>
      <c r="T964" s="47" t="s">
        <v>1128</v>
      </c>
      <c r="U964" s="47" t="s">
        <v>4691</v>
      </c>
      <c r="V964" s="141">
        <v>178363</v>
      </c>
      <c r="W964" s="337"/>
    </row>
    <row r="965" spans="19:23" ht="12.75">
      <c r="S965" s="140"/>
      <c r="T965" s="47" t="s">
        <v>1134</v>
      </c>
      <c r="U965" s="47" t="s">
        <v>3974</v>
      </c>
      <c r="V965" s="141">
        <v>183993</v>
      </c>
      <c r="W965" s="337"/>
    </row>
    <row r="966" spans="19:23" ht="12.75">
      <c r="S966" s="140"/>
      <c r="T966" s="47" t="s">
        <v>1131</v>
      </c>
      <c r="U966" s="47" t="s">
        <v>4694</v>
      </c>
      <c r="V966" s="141">
        <v>191210</v>
      </c>
      <c r="W966" s="337"/>
    </row>
    <row r="967" spans="19:23" ht="12.75">
      <c r="S967" s="140"/>
      <c r="T967" s="47" t="s">
        <v>1140</v>
      </c>
      <c r="U967" s="47" t="s">
        <v>3828</v>
      </c>
      <c r="V967" s="141">
        <v>208200</v>
      </c>
      <c r="W967" s="337"/>
    </row>
    <row r="968" spans="19:23" ht="12.75">
      <c r="S968" s="140"/>
      <c r="T968" s="47" t="s">
        <v>1137</v>
      </c>
      <c r="U968" s="47" t="s">
        <v>3825</v>
      </c>
      <c r="V968" s="141">
        <v>215420</v>
      </c>
      <c r="W968" s="337"/>
    </row>
    <row r="969" spans="19:23" ht="12.75">
      <c r="S969" s="140"/>
      <c r="T969" s="47" t="s">
        <v>1144</v>
      </c>
      <c r="U969" s="47" t="s">
        <v>2682</v>
      </c>
      <c r="V969" s="141">
        <v>219884</v>
      </c>
      <c r="W969" s="337"/>
    </row>
    <row r="970" spans="19:23" ht="12.75">
      <c r="S970" s="140"/>
      <c r="T970" s="47" t="s">
        <v>1150</v>
      </c>
      <c r="U970" s="47" t="s">
        <v>2688</v>
      </c>
      <c r="V970" s="141">
        <v>225514</v>
      </c>
      <c r="W970" s="337"/>
    </row>
    <row r="971" spans="19:23" ht="12.75">
      <c r="S971" s="140"/>
      <c r="T971" s="47" t="s">
        <v>1147</v>
      </c>
      <c r="U971" s="47" t="s">
        <v>2685</v>
      </c>
      <c r="V971" s="141">
        <v>232733</v>
      </c>
      <c r="W971" s="337"/>
    </row>
    <row r="972" spans="19:23" ht="12.75">
      <c r="S972" s="140"/>
      <c r="T972" s="47" t="s">
        <v>1156</v>
      </c>
      <c r="U972" s="47" t="s">
        <v>4505</v>
      </c>
      <c r="V972" s="141">
        <v>249725</v>
      </c>
      <c r="W972" s="337"/>
    </row>
    <row r="973" spans="19:23" ht="12.75">
      <c r="S973" s="140"/>
      <c r="T973" s="47" t="s">
        <v>1153</v>
      </c>
      <c r="U973" s="47" t="s">
        <v>2168</v>
      </c>
      <c r="V973" s="141">
        <v>256942</v>
      </c>
      <c r="W973" s="337"/>
    </row>
    <row r="974" spans="19:23" ht="12.75">
      <c r="S974" s="140"/>
      <c r="T974" s="47" t="s">
        <v>1045</v>
      </c>
      <c r="U974" s="47" t="s">
        <v>1046</v>
      </c>
      <c r="V974" s="141">
        <v>346922</v>
      </c>
      <c r="W974" s="139"/>
    </row>
    <row r="975" spans="19:23" ht="12.75">
      <c r="S975" s="140"/>
      <c r="T975" s="47" t="s">
        <v>1145</v>
      </c>
      <c r="U975" s="47" t="s">
        <v>2683</v>
      </c>
      <c r="V975" s="141">
        <v>235071</v>
      </c>
      <c r="W975" s="337"/>
    </row>
    <row r="976" spans="19:23" ht="12.75">
      <c r="S976" s="140"/>
      <c r="T976" s="47" t="s">
        <v>1151</v>
      </c>
      <c r="U976" s="47" t="s">
        <v>2166</v>
      </c>
      <c r="V976" s="141">
        <v>240703</v>
      </c>
      <c r="W976" s="337"/>
    </row>
    <row r="977" spans="19:23" ht="12.75">
      <c r="S977" s="140"/>
      <c r="T977" s="47" t="s">
        <v>1148</v>
      </c>
      <c r="U977" s="47" t="s">
        <v>2686</v>
      </c>
      <c r="V977" s="141">
        <v>247921</v>
      </c>
      <c r="W977" s="337"/>
    </row>
    <row r="978" spans="19:23" ht="12.75">
      <c r="S978" s="140"/>
      <c r="T978" s="47" t="s">
        <v>1157</v>
      </c>
      <c r="U978" s="47" t="s">
        <v>4506</v>
      </c>
      <c r="V978" s="141">
        <v>264911</v>
      </c>
      <c r="W978" s="337"/>
    </row>
    <row r="979" spans="19:23" ht="12.75">
      <c r="S979" s="140"/>
      <c r="T979" s="47" t="s">
        <v>1154</v>
      </c>
      <c r="U979" s="47" t="s">
        <v>2169</v>
      </c>
      <c r="V979" s="141">
        <v>272129</v>
      </c>
      <c r="W979" s="337"/>
    </row>
    <row r="980" spans="19:23" ht="12.75">
      <c r="S980" s="140"/>
      <c r="T980" s="47" t="s">
        <v>1143</v>
      </c>
      <c r="U980" s="47" t="s">
        <v>2161</v>
      </c>
      <c r="V980" s="141">
        <v>238542</v>
      </c>
      <c r="W980" s="337"/>
    </row>
    <row r="981" spans="19:23" ht="12.75">
      <c r="S981" s="140"/>
      <c r="T981" s="47" t="s">
        <v>1149</v>
      </c>
      <c r="U981" s="47" t="s">
        <v>2687</v>
      </c>
      <c r="V981" s="141">
        <v>244174</v>
      </c>
      <c r="W981" s="337"/>
    </row>
    <row r="982" spans="19:23" ht="12.75">
      <c r="S982" s="140"/>
      <c r="T982" s="47" t="s">
        <v>1146</v>
      </c>
      <c r="U982" s="47" t="s">
        <v>2684</v>
      </c>
      <c r="V982" s="141">
        <v>251390</v>
      </c>
      <c r="W982" s="337"/>
    </row>
    <row r="983" spans="19:23" ht="12.75">
      <c r="S983" s="140"/>
      <c r="T983" s="47" t="s">
        <v>1155</v>
      </c>
      <c r="U983" s="47" t="s">
        <v>2170</v>
      </c>
      <c r="V983" s="141">
        <v>268382</v>
      </c>
      <c r="W983" s="337"/>
    </row>
    <row r="984" spans="19:23" ht="12.75">
      <c r="S984" s="140"/>
      <c r="T984" s="47" t="s">
        <v>1152</v>
      </c>
      <c r="U984" s="47" t="s">
        <v>2167</v>
      </c>
      <c r="V984" s="141">
        <v>275599</v>
      </c>
      <c r="W984" s="337"/>
    </row>
    <row r="985" spans="19:23" ht="12.75">
      <c r="S985" s="140"/>
      <c r="T985" s="47" t="s">
        <v>1159</v>
      </c>
      <c r="U985" s="47" t="s">
        <v>4508</v>
      </c>
      <c r="V985" s="141">
        <v>230542</v>
      </c>
      <c r="W985" s="139"/>
    </row>
    <row r="986" spans="19:23" ht="12.75">
      <c r="S986" s="140"/>
      <c r="T986" s="47" t="s">
        <v>1165</v>
      </c>
      <c r="U986" s="47" t="s">
        <v>2185</v>
      </c>
      <c r="V986" s="141">
        <v>236171</v>
      </c>
      <c r="W986" s="139"/>
    </row>
    <row r="987" spans="19:23" ht="12.75">
      <c r="S987" s="140"/>
      <c r="T987" s="47" t="s">
        <v>1162</v>
      </c>
      <c r="U987" s="47" t="s">
        <v>3715</v>
      </c>
      <c r="V987" s="141">
        <v>243388</v>
      </c>
      <c r="W987" s="139"/>
    </row>
    <row r="988" spans="19:23" ht="12.75">
      <c r="S988" s="140"/>
      <c r="T988" s="47" t="s">
        <v>1171</v>
      </c>
      <c r="U988" s="47" t="s">
        <v>2191</v>
      </c>
      <c r="V988" s="141">
        <v>260379</v>
      </c>
      <c r="W988" s="139"/>
    </row>
    <row r="989" spans="19:23" ht="12.75">
      <c r="S989" s="140"/>
      <c r="T989" s="47" t="s">
        <v>1168</v>
      </c>
      <c r="U989" s="47" t="s">
        <v>2188</v>
      </c>
      <c r="V989" s="141">
        <v>267598</v>
      </c>
      <c r="W989" s="139"/>
    </row>
    <row r="990" spans="19:23" ht="12.75">
      <c r="S990" s="140"/>
      <c r="T990" s="47" t="s">
        <v>1047</v>
      </c>
      <c r="U990" s="47" t="s">
        <v>1048</v>
      </c>
      <c r="V990" s="141">
        <v>357577</v>
      </c>
      <c r="W990" s="139"/>
    </row>
    <row r="991" spans="19:23" ht="12.75">
      <c r="S991" s="140"/>
      <c r="T991" s="47" t="s">
        <v>1160</v>
      </c>
      <c r="U991" s="47" t="s">
        <v>4509</v>
      </c>
      <c r="V991" s="141">
        <v>245729</v>
      </c>
      <c r="W991" s="139"/>
    </row>
    <row r="992" spans="19:23" ht="12.75">
      <c r="S992" s="140"/>
      <c r="T992" s="47" t="s">
        <v>1166</v>
      </c>
      <c r="U992" s="47" t="s">
        <v>2186</v>
      </c>
      <c r="V992" s="141">
        <v>251358</v>
      </c>
      <c r="W992" s="139"/>
    </row>
    <row r="993" spans="19:23" ht="12.75">
      <c r="S993" s="140"/>
      <c r="T993" s="47" t="s">
        <v>1163</v>
      </c>
      <c r="U993" s="47" t="s">
        <v>2183</v>
      </c>
      <c r="V993" s="141">
        <v>258577</v>
      </c>
      <c r="W993" s="139"/>
    </row>
    <row r="994" spans="19:23" ht="12.75">
      <c r="S994" s="140"/>
      <c r="T994" s="47" t="s">
        <v>1172</v>
      </c>
      <c r="U994" s="47" t="s">
        <v>2192</v>
      </c>
      <c r="V994" s="141">
        <v>275566</v>
      </c>
      <c r="W994" s="139"/>
    </row>
    <row r="995" spans="19:23" ht="12.75">
      <c r="S995" s="140"/>
      <c r="T995" s="47" t="s">
        <v>1169</v>
      </c>
      <c r="U995" s="47" t="s">
        <v>2189</v>
      </c>
      <c r="V995" s="141">
        <v>282785</v>
      </c>
      <c r="W995" s="139"/>
    </row>
    <row r="996" spans="19:23" ht="12.75">
      <c r="S996" s="140"/>
      <c r="T996" s="47" t="s">
        <v>1158</v>
      </c>
      <c r="U996" s="47" t="s">
        <v>4507</v>
      </c>
      <c r="V996" s="141">
        <v>249198</v>
      </c>
      <c r="W996" s="139"/>
    </row>
    <row r="997" spans="19:23" ht="12.75">
      <c r="S997" s="140"/>
      <c r="T997" s="47" t="s">
        <v>1164</v>
      </c>
      <c r="U997" s="47" t="s">
        <v>2184</v>
      </c>
      <c r="V997" s="141">
        <v>254828</v>
      </c>
      <c r="W997" s="139"/>
    </row>
    <row r="998" spans="19:23" ht="12.75">
      <c r="S998" s="140"/>
      <c r="T998" s="47" t="s">
        <v>1161</v>
      </c>
      <c r="U998" s="47" t="s">
        <v>3714</v>
      </c>
      <c r="V998" s="141">
        <v>262046</v>
      </c>
      <c r="W998" s="139"/>
    </row>
    <row r="999" spans="19:23" ht="12.75">
      <c r="S999" s="140"/>
      <c r="T999" s="47" t="s">
        <v>1170</v>
      </c>
      <c r="U999" s="47" t="s">
        <v>2190</v>
      </c>
      <c r="V999" s="141">
        <v>279037</v>
      </c>
      <c r="W999" s="139"/>
    </row>
    <row r="1000" spans="19:23" ht="12.75">
      <c r="S1000" s="140"/>
      <c r="T1000" s="47" t="s">
        <v>1167</v>
      </c>
      <c r="U1000" s="47" t="s">
        <v>2187</v>
      </c>
      <c r="V1000" s="141">
        <v>286255</v>
      </c>
      <c r="W1000" s="139"/>
    </row>
    <row r="1001" spans="19:23" ht="12.75">
      <c r="S1001" s="140"/>
      <c r="T1001" s="47" t="s">
        <v>1173</v>
      </c>
      <c r="U1001" s="47" t="s">
        <v>2193</v>
      </c>
      <c r="V1001" s="141">
        <v>98547</v>
      </c>
      <c r="W1001" s="337"/>
    </row>
    <row r="1002" spans="19:23" ht="12.75">
      <c r="S1002" s="140"/>
      <c r="T1002" s="47" t="s">
        <v>1175</v>
      </c>
      <c r="U1002" s="47" t="s">
        <v>2195</v>
      </c>
      <c r="V1002" s="141">
        <v>104177</v>
      </c>
      <c r="W1002" s="337"/>
    </row>
    <row r="1003" spans="19:23" ht="12.75">
      <c r="S1003" s="140"/>
      <c r="T1003" s="47" t="s">
        <v>1174</v>
      </c>
      <c r="U1003" s="47" t="s">
        <v>2194</v>
      </c>
      <c r="V1003" s="141">
        <v>111394</v>
      </c>
      <c r="W1003" s="337"/>
    </row>
    <row r="1004" spans="19:23" ht="12.75">
      <c r="S1004" s="140"/>
      <c r="T1004" s="47" t="s">
        <v>1177</v>
      </c>
      <c r="U1004" s="47" t="s">
        <v>2197</v>
      </c>
      <c r="V1004" s="141">
        <v>128385</v>
      </c>
      <c r="W1004" s="337"/>
    </row>
    <row r="1005" spans="19:23" ht="12.75">
      <c r="S1005" s="140"/>
      <c r="T1005" s="47" t="s">
        <v>1176</v>
      </c>
      <c r="U1005" s="47" t="s">
        <v>2196</v>
      </c>
      <c r="V1005" s="141">
        <v>135604</v>
      </c>
      <c r="W1005" s="337"/>
    </row>
    <row r="1006" spans="19:23" ht="12.75">
      <c r="S1006" s="140"/>
      <c r="T1006" s="47" t="s">
        <v>1049</v>
      </c>
      <c r="U1006" s="47" t="s">
        <v>1050</v>
      </c>
      <c r="V1006" s="141">
        <v>225583</v>
      </c>
      <c r="W1006" s="139"/>
    </row>
    <row r="1007" spans="19:23" ht="12.75">
      <c r="S1007" s="140"/>
      <c r="T1007" s="47" t="s">
        <v>1178</v>
      </c>
      <c r="U1007" s="47" t="s">
        <v>2198</v>
      </c>
      <c r="V1007" s="141">
        <v>109051</v>
      </c>
      <c r="W1007" s="337"/>
    </row>
    <row r="1008" spans="19:23" ht="12.75">
      <c r="S1008" s="140"/>
      <c r="T1008" s="47" t="s">
        <v>1180</v>
      </c>
      <c r="U1008" s="47" t="s">
        <v>2200</v>
      </c>
      <c r="V1008" s="141">
        <v>114682</v>
      </c>
      <c r="W1008" s="337"/>
    </row>
    <row r="1009" spans="19:23" ht="12.75">
      <c r="S1009" s="140"/>
      <c r="T1009" s="47" t="s">
        <v>1179</v>
      </c>
      <c r="U1009" s="47" t="s">
        <v>2199</v>
      </c>
      <c r="V1009" s="141">
        <v>121899</v>
      </c>
      <c r="W1009" s="337"/>
    </row>
    <row r="1010" spans="19:23" ht="12.75">
      <c r="S1010" s="140"/>
      <c r="T1010" s="47" t="s">
        <v>1182</v>
      </c>
      <c r="U1010" s="47" t="s">
        <v>374</v>
      </c>
      <c r="V1010" s="141">
        <v>138890</v>
      </c>
      <c r="W1010" s="337"/>
    </row>
    <row r="1011" spans="19:23" ht="12.75">
      <c r="S1011" s="140"/>
      <c r="T1011" s="47" t="s">
        <v>1181</v>
      </c>
      <c r="U1011" s="47" t="s">
        <v>2201</v>
      </c>
      <c r="V1011" s="141">
        <v>146109</v>
      </c>
      <c r="W1011" s="337"/>
    </row>
    <row r="1012" spans="19:23" ht="12.75">
      <c r="S1012" s="140"/>
      <c r="T1012" s="47" t="s">
        <v>1051</v>
      </c>
      <c r="U1012" s="47" t="s">
        <v>1841</v>
      </c>
      <c r="V1012" s="141">
        <v>236088</v>
      </c>
      <c r="W1012" s="139"/>
    </row>
    <row r="1013" spans="19:23" ht="12.75">
      <c r="S1013" s="140"/>
      <c r="T1013" s="47" t="s">
        <v>1183</v>
      </c>
      <c r="U1013" s="47" t="s">
        <v>375</v>
      </c>
      <c r="V1013" s="141">
        <v>130060</v>
      </c>
      <c r="W1013" s="337"/>
    </row>
    <row r="1014" spans="19:23" ht="12.75">
      <c r="S1014" s="140"/>
      <c r="T1014" s="47" t="s">
        <v>1185</v>
      </c>
      <c r="U1014" s="47" t="s">
        <v>377</v>
      </c>
      <c r="V1014" s="141">
        <v>135692</v>
      </c>
      <c r="W1014" s="337"/>
    </row>
    <row r="1015" spans="19:23" ht="12.75">
      <c r="S1015" s="140"/>
      <c r="T1015" s="47" t="s">
        <v>1184</v>
      </c>
      <c r="U1015" s="47" t="s">
        <v>376</v>
      </c>
      <c r="V1015" s="141">
        <v>142908</v>
      </c>
      <c r="W1015" s="337"/>
    </row>
    <row r="1016" spans="19:23" ht="12.75">
      <c r="S1016" s="140"/>
      <c r="T1016" s="47" t="s">
        <v>1187</v>
      </c>
      <c r="U1016" s="47" t="s">
        <v>379</v>
      </c>
      <c r="V1016" s="141">
        <v>159901</v>
      </c>
      <c r="W1016" s="337"/>
    </row>
    <row r="1017" spans="19:23" ht="12.75">
      <c r="S1017" s="140"/>
      <c r="T1017" s="47" t="s">
        <v>1186</v>
      </c>
      <c r="U1017" s="47" t="s">
        <v>378</v>
      </c>
      <c r="V1017" s="141">
        <v>167117</v>
      </c>
      <c r="W1017" s="139"/>
    </row>
    <row r="1018" spans="19:23" ht="12.75">
      <c r="S1018" s="140"/>
      <c r="T1018" s="47" t="s">
        <v>1842</v>
      </c>
      <c r="U1018" s="47" t="s">
        <v>1843</v>
      </c>
      <c r="V1018" s="141">
        <v>257097</v>
      </c>
      <c r="W1018" s="139"/>
    </row>
    <row r="1019" spans="19:23" ht="12.75">
      <c r="S1019" s="140"/>
      <c r="T1019" s="47" t="s">
        <v>1188</v>
      </c>
      <c r="U1019" s="47" t="s">
        <v>380</v>
      </c>
      <c r="V1019" s="141">
        <v>139495</v>
      </c>
      <c r="W1019" s="339"/>
    </row>
    <row r="1020" spans="19:23" ht="12.75">
      <c r="S1020" s="140"/>
      <c r="T1020" s="47" t="s">
        <v>1190</v>
      </c>
      <c r="U1020" s="47" t="s">
        <v>382</v>
      </c>
      <c r="V1020" s="141">
        <v>145126</v>
      </c>
      <c r="W1020" s="339"/>
    </row>
    <row r="1021" spans="19:23" ht="12.75">
      <c r="S1021" s="140"/>
      <c r="T1021" s="47" t="s">
        <v>1189</v>
      </c>
      <c r="U1021" s="47" t="s">
        <v>381</v>
      </c>
      <c r="V1021" s="141">
        <v>152343</v>
      </c>
      <c r="W1021" s="339"/>
    </row>
    <row r="1022" spans="19:23" ht="12.75">
      <c r="S1022" s="140"/>
      <c r="T1022" s="47" t="s">
        <v>1192</v>
      </c>
      <c r="U1022" s="47" t="s">
        <v>384</v>
      </c>
      <c r="V1022" s="141">
        <v>169335</v>
      </c>
      <c r="W1022" s="339"/>
    </row>
    <row r="1023" spans="19:23" ht="12.75">
      <c r="S1023" s="140"/>
      <c r="T1023" s="47" t="s">
        <v>1191</v>
      </c>
      <c r="U1023" s="47" t="s">
        <v>383</v>
      </c>
      <c r="V1023" s="141">
        <v>176551</v>
      </c>
      <c r="W1023" s="339"/>
    </row>
    <row r="1024" spans="19:23" ht="12.75">
      <c r="S1024" s="140"/>
      <c r="T1024" s="47" t="s">
        <v>1844</v>
      </c>
      <c r="U1024" s="47" t="s">
        <v>1845</v>
      </c>
      <c r="V1024" s="141">
        <v>266531</v>
      </c>
      <c r="W1024" s="139"/>
    </row>
    <row r="1025" spans="19:23" ht="12.75">
      <c r="S1025" s="140"/>
      <c r="T1025" s="47" t="s">
        <v>1193</v>
      </c>
      <c r="U1025" s="47" t="s">
        <v>385</v>
      </c>
      <c r="V1025" s="141">
        <v>148501</v>
      </c>
      <c r="W1025" s="337"/>
    </row>
    <row r="1026" spans="19:23" ht="12.75">
      <c r="S1026" s="140"/>
      <c r="T1026" s="47" t="s">
        <v>1195</v>
      </c>
      <c r="U1026" s="47" t="s">
        <v>387</v>
      </c>
      <c r="V1026" s="141">
        <v>154131</v>
      </c>
      <c r="W1026" s="337"/>
    </row>
    <row r="1027" spans="19:23" ht="12.75">
      <c r="S1027" s="140"/>
      <c r="T1027" s="47" t="s">
        <v>1194</v>
      </c>
      <c r="U1027" s="47" t="s">
        <v>386</v>
      </c>
      <c r="V1027" s="141">
        <v>161350</v>
      </c>
      <c r="W1027" s="337"/>
    </row>
    <row r="1028" spans="19:23" ht="12.75">
      <c r="S1028" s="140"/>
      <c r="T1028" s="47" t="s">
        <v>1197</v>
      </c>
      <c r="U1028" s="47" t="s">
        <v>389</v>
      </c>
      <c r="V1028" s="141">
        <v>178340</v>
      </c>
      <c r="W1028" s="337"/>
    </row>
    <row r="1029" spans="19:23" ht="12.75">
      <c r="S1029" s="140"/>
      <c r="T1029" s="47" t="s">
        <v>1196</v>
      </c>
      <c r="U1029" s="47" t="s">
        <v>388</v>
      </c>
      <c r="V1029" s="141">
        <v>185559</v>
      </c>
      <c r="W1029" s="337"/>
    </row>
    <row r="1030" spans="19:23" ht="12.75">
      <c r="S1030" s="140"/>
      <c r="T1030" s="47" t="s">
        <v>1846</v>
      </c>
      <c r="U1030" s="47" t="s">
        <v>1847</v>
      </c>
      <c r="V1030" s="141">
        <v>275539</v>
      </c>
      <c r="W1030" s="139"/>
    </row>
    <row r="1031" spans="19:23" ht="12.75">
      <c r="S1031" s="140"/>
      <c r="T1031" s="47" t="s">
        <v>1198</v>
      </c>
      <c r="U1031" s="47" t="s">
        <v>390</v>
      </c>
      <c r="V1031" s="141">
        <v>155177</v>
      </c>
      <c r="W1031" s="139"/>
    </row>
    <row r="1032" spans="19:23" ht="12.75">
      <c r="S1032" s="140"/>
      <c r="T1032" s="47" t="s">
        <v>1200</v>
      </c>
      <c r="U1032" s="47" t="s">
        <v>392</v>
      </c>
      <c r="V1032" s="141">
        <v>160807</v>
      </c>
      <c r="W1032" s="139"/>
    </row>
    <row r="1033" spans="19:23" ht="12.75">
      <c r="S1033" s="140"/>
      <c r="T1033" s="47" t="s">
        <v>1199</v>
      </c>
      <c r="U1033" s="47" t="s">
        <v>391</v>
      </c>
      <c r="V1033" s="141">
        <v>168025</v>
      </c>
      <c r="W1033" s="139"/>
    </row>
    <row r="1034" spans="19:23" ht="12.75">
      <c r="S1034" s="140"/>
      <c r="T1034" s="47" t="s">
        <v>1202</v>
      </c>
      <c r="U1034" s="47" t="s">
        <v>394</v>
      </c>
      <c r="V1034" s="141">
        <v>185015</v>
      </c>
      <c r="W1034" s="139"/>
    </row>
    <row r="1035" spans="19:23" ht="12.75">
      <c r="S1035" s="140"/>
      <c r="T1035" s="47" t="s">
        <v>1201</v>
      </c>
      <c r="U1035" s="47" t="s">
        <v>393</v>
      </c>
      <c r="V1035" s="141">
        <v>192233</v>
      </c>
      <c r="W1035" s="139"/>
    </row>
    <row r="1036" spans="19:23" ht="12.75">
      <c r="S1036" s="140"/>
      <c r="T1036" s="47" t="s">
        <v>1848</v>
      </c>
      <c r="U1036" s="47" t="s">
        <v>1849</v>
      </c>
      <c r="V1036" s="141">
        <v>282212</v>
      </c>
      <c r="W1036" s="139"/>
    </row>
    <row r="1037" spans="19:23" ht="12.75">
      <c r="S1037" s="140"/>
      <c r="T1037" s="47" t="s">
        <v>1203</v>
      </c>
      <c r="U1037" s="47" t="s">
        <v>395</v>
      </c>
      <c r="V1037" s="141">
        <v>184248</v>
      </c>
      <c r="W1037" s="139"/>
    </row>
    <row r="1038" spans="19:23" ht="12.75">
      <c r="S1038" s="140"/>
      <c r="T1038" s="47" t="s">
        <v>1205</v>
      </c>
      <c r="U1038" s="47" t="s">
        <v>397</v>
      </c>
      <c r="V1038" s="141">
        <v>189879</v>
      </c>
      <c r="W1038" s="139"/>
    </row>
    <row r="1039" spans="19:23" ht="12.75">
      <c r="S1039" s="140"/>
      <c r="T1039" s="47" t="s">
        <v>1204</v>
      </c>
      <c r="U1039" s="47" t="s">
        <v>396</v>
      </c>
      <c r="V1039" s="141">
        <v>197096</v>
      </c>
      <c r="W1039" s="139"/>
    </row>
    <row r="1040" spans="19:23" ht="12.75">
      <c r="S1040" s="140"/>
      <c r="T1040" s="47" t="s">
        <v>1207</v>
      </c>
      <c r="U1040" s="47" t="s">
        <v>399</v>
      </c>
      <c r="V1040" s="141">
        <v>214086</v>
      </c>
      <c r="W1040" s="139"/>
    </row>
    <row r="1041" spans="19:23" ht="12.75">
      <c r="S1041" s="140"/>
      <c r="T1041" s="47" t="s">
        <v>1206</v>
      </c>
      <c r="U1041" s="47" t="s">
        <v>398</v>
      </c>
      <c r="V1041" s="141">
        <v>221306</v>
      </c>
      <c r="W1041" s="139"/>
    </row>
    <row r="1042" spans="19:23" ht="12.75">
      <c r="S1042" s="140"/>
      <c r="T1042" s="47" t="s">
        <v>1850</v>
      </c>
      <c r="U1042" s="47" t="s">
        <v>1851</v>
      </c>
      <c r="V1042" s="141">
        <v>311285</v>
      </c>
      <c r="W1042" s="139"/>
    </row>
    <row r="1043" spans="19:23" ht="12.75">
      <c r="S1043" s="140"/>
      <c r="T1043" s="47" t="s">
        <v>1208</v>
      </c>
      <c r="U1043" s="47" t="s">
        <v>400</v>
      </c>
      <c r="V1043" s="141">
        <v>166489</v>
      </c>
      <c r="W1043" s="337"/>
    </row>
    <row r="1044" spans="19:23" ht="12.75">
      <c r="S1044" s="140"/>
      <c r="T1044" s="47" t="s">
        <v>1210</v>
      </c>
      <c r="U1044" s="47" t="s">
        <v>402</v>
      </c>
      <c r="V1044" s="141">
        <v>172119</v>
      </c>
      <c r="W1044" s="337"/>
    </row>
    <row r="1045" spans="19:23" ht="12.75">
      <c r="S1045" s="140"/>
      <c r="T1045" s="47" t="s">
        <v>1209</v>
      </c>
      <c r="U1045" s="47" t="s">
        <v>401</v>
      </c>
      <c r="V1045" s="141">
        <v>179336</v>
      </c>
      <c r="W1045" s="337"/>
    </row>
    <row r="1046" spans="19:23" ht="12.75">
      <c r="S1046" s="140"/>
      <c r="T1046" s="47" t="s">
        <v>1212</v>
      </c>
      <c r="U1046" s="47" t="s">
        <v>404</v>
      </c>
      <c r="V1046" s="141">
        <v>196329</v>
      </c>
      <c r="W1046" s="337"/>
    </row>
    <row r="1047" spans="19:23" ht="12.75">
      <c r="S1047" s="140"/>
      <c r="T1047" s="47" t="s">
        <v>1211</v>
      </c>
      <c r="U1047" s="47" t="s">
        <v>403</v>
      </c>
      <c r="V1047" s="141">
        <v>203544</v>
      </c>
      <c r="W1047" s="337"/>
    </row>
    <row r="1048" spans="19:23" ht="12.75">
      <c r="S1048" s="140"/>
      <c r="T1048" s="47" t="s">
        <v>1852</v>
      </c>
      <c r="U1048" s="47" t="s">
        <v>1853</v>
      </c>
      <c r="V1048" s="141">
        <v>293524</v>
      </c>
      <c r="W1048" s="139"/>
    </row>
    <row r="1049" spans="19:23" ht="12.75">
      <c r="S1049" s="140"/>
      <c r="T1049" s="47" t="s">
        <v>1213</v>
      </c>
      <c r="U1049" s="47" t="s">
        <v>405</v>
      </c>
      <c r="V1049" s="141">
        <v>195862</v>
      </c>
      <c r="W1049" s="337"/>
    </row>
    <row r="1050" spans="19:23" ht="12.75">
      <c r="S1050" s="140"/>
      <c r="T1050" s="47" t="s">
        <v>1215</v>
      </c>
      <c r="U1050" s="47" t="s">
        <v>407</v>
      </c>
      <c r="V1050" s="141">
        <v>201493</v>
      </c>
      <c r="W1050" s="337"/>
    </row>
    <row r="1051" spans="19:23" ht="12.75">
      <c r="S1051" s="140"/>
      <c r="T1051" s="47" t="s">
        <v>1214</v>
      </c>
      <c r="U1051" s="47" t="s">
        <v>406</v>
      </c>
      <c r="V1051" s="141">
        <v>208709</v>
      </c>
      <c r="W1051" s="337"/>
    </row>
    <row r="1052" spans="19:23" ht="12.75">
      <c r="S1052" s="140"/>
      <c r="T1052" s="47" t="s">
        <v>1217</v>
      </c>
      <c r="U1052" s="47" t="s">
        <v>409</v>
      </c>
      <c r="V1052" s="141">
        <v>225701</v>
      </c>
      <c r="W1052" s="337"/>
    </row>
    <row r="1053" spans="19:23" ht="12.75">
      <c r="S1053" s="140"/>
      <c r="T1053" s="47" t="s">
        <v>1216</v>
      </c>
      <c r="U1053" s="47" t="s">
        <v>408</v>
      </c>
      <c r="V1053" s="141">
        <v>232919</v>
      </c>
      <c r="W1053" s="337"/>
    </row>
    <row r="1054" spans="19:23" ht="12.75">
      <c r="S1054" s="140"/>
      <c r="T1054" s="47" t="s">
        <v>1854</v>
      </c>
      <c r="U1054" s="47" t="s">
        <v>1855</v>
      </c>
      <c r="V1054" s="141">
        <v>322897</v>
      </c>
      <c r="W1054" s="139"/>
    </row>
    <row r="1055" spans="19:23" ht="12.75">
      <c r="S1055" s="140"/>
      <c r="T1055" s="47" t="s">
        <v>1218</v>
      </c>
      <c r="U1055" s="47" t="s">
        <v>410</v>
      </c>
      <c r="V1055" s="141">
        <v>203129</v>
      </c>
      <c r="W1055" s="139"/>
    </row>
    <row r="1056" spans="19:23" ht="12.75">
      <c r="S1056" s="140"/>
      <c r="T1056" s="47" t="s">
        <v>1220</v>
      </c>
      <c r="U1056" s="47" t="s">
        <v>412</v>
      </c>
      <c r="V1056" s="141">
        <v>208759</v>
      </c>
      <c r="W1056" s="139"/>
    </row>
    <row r="1057" spans="19:23" ht="12.75">
      <c r="S1057" s="140"/>
      <c r="T1057" s="47" t="s">
        <v>1219</v>
      </c>
      <c r="U1057" s="47" t="s">
        <v>411</v>
      </c>
      <c r="V1057" s="141">
        <v>215977</v>
      </c>
      <c r="W1057" s="139"/>
    </row>
    <row r="1058" spans="19:23" ht="12.75">
      <c r="S1058" s="140"/>
      <c r="T1058" s="47" t="s">
        <v>1222</v>
      </c>
      <c r="U1058" s="47" t="s">
        <v>414</v>
      </c>
      <c r="V1058" s="141">
        <v>232969</v>
      </c>
      <c r="W1058" s="139"/>
    </row>
    <row r="1059" spans="19:23" ht="12.75">
      <c r="S1059" s="140"/>
      <c r="T1059" s="47" t="s">
        <v>1221</v>
      </c>
      <c r="U1059" s="47" t="s">
        <v>413</v>
      </c>
      <c r="V1059" s="141">
        <v>240186</v>
      </c>
      <c r="W1059" s="139"/>
    </row>
    <row r="1060" spans="19:23" ht="12.75">
      <c r="S1060" s="140"/>
      <c r="T1060" s="47" t="s">
        <v>1856</v>
      </c>
      <c r="U1060" s="47" t="s">
        <v>325</v>
      </c>
      <c r="V1060" s="141">
        <v>330166</v>
      </c>
      <c r="W1060" s="139"/>
    </row>
    <row r="1061" spans="19:23" ht="12.75">
      <c r="S1061" s="140"/>
      <c r="T1061" s="47" t="s">
        <v>1223</v>
      </c>
      <c r="U1061" s="47" t="s">
        <v>415</v>
      </c>
      <c r="V1061" s="141">
        <v>228006</v>
      </c>
      <c r="W1061" s="139"/>
    </row>
    <row r="1062" spans="19:23" ht="12.75">
      <c r="S1062" s="140"/>
      <c r="T1062" s="47" t="s">
        <v>1225</v>
      </c>
      <c r="U1062" s="47" t="s">
        <v>417</v>
      </c>
      <c r="V1062" s="141">
        <v>233636</v>
      </c>
      <c r="W1062" s="139"/>
    </row>
    <row r="1063" spans="19:23" ht="12.75">
      <c r="S1063" s="140"/>
      <c r="T1063" s="47" t="s">
        <v>1224</v>
      </c>
      <c r="U1063" s="47" t="s">
        <v>416</v>
      </c>
      <c r="V1063" s="141">
        <v>240853</v>
      </c>
      <c r="W1063" s="139"/>
    </row>
    <row r="1064" spans="19:23" ht="12.75">
      <c r="S1064" s="140"/>
      <c r="T1064" s="47" t="s">
        <v>1227</v>
      </c>
      <c r="U1064" s="47" t="s">
        <v>419</v>
      </c>
      <c r="V1064" s="141">
        <v>257845</v>
      </c>
      <c r="W1064" s="139"/>
    </row>
    <row r="1065" spans="19:23" ht="12.75">
      <c r="S1065" s="140"/>
      <c r="T1065" s="47" t="s">
        <v>1226</v>
      </c>
      <c r="U1065" s="47" t="s">
        <v>418</v>
      </c>
      <c r="V1065" s="141">
        <v>265062</v>
      </c>
      <c r="W1065" s="139"/>
    </row>
    <row r="1066" spans="19:23" ht="12.75">
      <c r="S1066" s="140"/>
      <c r="T1066" s="47" t="s">
        <v>326</v>
      </c>
      <c r="U1066" s="47" t="s">
        <v>327</v>
      </c>
      <c r="V1066" s="141">
        <v>355042</v>
      </c>
      <c r="W1066" s="139"/>
    </row>
    <row r="1067" spans="19:23" ht="12.75">
      <c r="S1067" s="140"/>
      <c r="T1067" s="47" t="s">
        <v>1228</v>
      </c>
      <c r="U1067" s="47" t="s">
        <v>420</v>
      </c>
      <c r="V1067" s="141">
        <v>203357</v>
      </c>
      <c r="W1067" s="337"/>
    </row>
    <row r="1068" spans="19:23" ht="12.75">
      <c r="S1068" s="140"/>
      <c r="T1068" s="47" t="s">
        <v>1230</v>
      </c>
      <c r="U1068" s="47" t="s">
        <v>422</v>
      </c>
      <c r="V1068" s="141">
        <v>208986</v>
      </c>
      <c r="W1068" s="337"/>
    </row>
    <row r="1069" spans="19:23" ht="12.75">
      <c r="S1069" s="140"/>
      <c r="T1069" s="47" t="s">
        <v>1229</v>
      </c>
      <c r="U1069" s="47" t="s">
        <v>421</v>
      </c>
      <c r="V1069" s="141">
        <v>216204</v>
      </c>
      <c r="W1069" s="337"/>
    </row>
    <row r="1070" spans="19:23" ht="12.75">
      <c r="S1070" s="140"/>
      <c r="T1070" s="47" t="s">
        <v>1232</v>
      </c>
      <c r="U1070" s="47" t="s">
        <v>424</v>
      </c>
      <c r="V1070" s="141">
        <v>233194</v>
      </c>
      <c r="W1070" s="337"/>
    </row>
    <row r="1071" spans="19:23" ht="12.75">
      <c r="S1071" s="140"/>
      <c r="T1071" s="47" t="s">
        <v>1231</v>
      </c>
      <c r="U1071" s="47" t="s">
        <v>423</v>
      </c>
      <c r="V1071" s="141">
        <v>240413</v>
      </c>
      <c r="W1071" s="337"/>
    </row>
    <row r="1072" spans="19:23" ht="12.75">
      <c r="S1072" s="140"/>
      <c r="T1072" s="47" t="s">
        <v>328</v>
      </c>
      <c r="U1072" s="47" t="s">
        <v>329</v>
      </c>
      <c r="V1072" s="141">
        <v>330392</v>
      </c>
      <c r="W1072" s="139"/>
    </row>
    <row r="1073" spans="19:23" ht="12.75">
      <c r="S1073" s="140"/>
      <c r="T1073" s="47" t="s">
        <v>1233</v>
      </c>
      <c r="U1073" s="47" t="s">
        <v>425</v>
      </c>
      <c r="V1073" s="141">
        <v>218030</v>
      </c>
      <c r="W1073" s="337"/>
    </row>
    <row r="1074" spans="19:23" ht="12.75">
      <c r="S1074" s="140"/>
      <c r="T1074" s="47" t="s">
        <v>1235</v>
      </c>
      <c r="U1074" s="47" t="s">
        <v>427</v>
      </c>
      <c r="V1074" s="141">
        <v>223660</v>
      </c>
      <c r="W1074" s="337"/>
    </row>
    <row r="1075" spans="19:23" ht="12.75">
      <c r="S1075" s="140"/>
      <c r="T1075" s="47" t="s">
        <v>1234</v>
      </c>
      <c r="U1075" s="47" t="s">
        <v>426</v>
      </c>
      <c r="V1075" s="141">
        <v>230877</v>
      </c>
      <c r="W1075" s="337"/>
    </row>
    <row r="1076" spans="19:23" ht="12.75">
      <c r="S1076" s="140"/>
      <c r="T1076" s="47" t="s">
        <v>1237</v>
      </c>
      <c r="U1076" s="47" t="s">
        <v>429</v>
      </c>
      <c r="V1076" s="141">
        <v>247870</v>
      </c>
      <c r="W1076" s="337"/>
    </row>
    <row r="1077" spans="19:23" ht="12.75">
      <c r="S1077" s="140"/>
      <c r="T1077" s="47" t="s">
        <v>1236</v>
      </c>
      <c r="U1077" s="47" t="s">
        <v>428</v>
      </c>
      <c r="V1077" s="141">
        <v>255086</v>
      </c>
      <c r="W1077" s="337"/>
    </row>
    <row r="1078" spans="19:23" ht="12.75">
      <c r="S1078" s="140"/>
      <c r="T1078" s="47" t="s">
        <v>330</v>
      </c>
      <c r="U1078" s="47" t="s">
        <v>331</v>
      </c>
      <c r="V1078" s="141">
        <v>345066</v>
      </c>
      <c r="W1078" s="139"/>
    </row>
    <row r="1079" spans="19:23" ht="12.75">
      <c r="S1079" s="140"/>
      <c r="T1079" s="47" t="s">
        <v>1238</v>
      </c>
      <c r="U1079" s="47" t="s">
        <v>430</v>
      </c>
      <c r="V1079" s="141">
        <v>224101</v>
      </c>
      <c r="W1079" s="139"/>
    </row>
    <row r="1080" spans="19:23" ht="12.75">
      <c r="S1080" s="140"/>
      <c r="T1080" s="47" t="s">
        <v>1240</v>
      </c>
      <c r="U1080" s="47" t="s">
        <v>432</v>
      </c>
      <c r="V1080" s="141">
        <v>229731</v>
      </c>
      <c r="W1080" s="139"/>
    </row>
    <row r="1081" spans="19:23" ht="12.75">
      <c r="S1081" s="140"/>
      <c r="T1081" s="47" t="s">
        <v>1239</v>
      </c>
      <c r="U1081" s="47" t="s">
        <v>431</v>
      </c>
      <c r="V1081" s="141">
        <v>236948</v>
      </c>
      <c r="W1081" s="139"/>
    </row>
    <row r="1082" spans="19:23" ht="12.75">
      <c r="S1082" s="140"/>
      <c r="T1082" s="47" t="s">
        <v>1242</v>
      </c>
      <c r="U1082" s="47" t="s">
        <v>434</v>
      </c>
      <c r="V1082" s="141">
        <v>253941</v>
      </c>
      <c r="W1082" s="139"/>
    </row>
    <row r="1083" spans="19:23" ht="12.75">
      <c r="S1083" s="140"/>
      <c r="T1083" s="47" t="s">
        <v>1241</v>
      </c>
      <c r="U1083" s="47" t="s">
        <v>433</v>
      </c>
      <c r="V1083" s="141">
        <v>261158</v>
      </c>
      <c r="W1083" s="139"/>
    </row>
    <row r="1084" spans="19:23" ht="12.75">
      <c r="S1084" s="140"/>
      <c r="T1084" s="47" t="s">
        <v>332</v>
      </c>
      <c r="U1084" s="47" t="s">
        <v>333</v>
      </c>
      <c r="V1084" s="141">
        <v>351137</v>
      </c>
      <c r="W1084" s="139"/>
    </row>
    <row r="1085" spans="19:23" ht="12.75">
      <c r="S1085" s="140"/>
      <c r="T1085" s="47" t="s">
        <v>2354</v>
      </c>
      <c r="U1085" s="47" t="s">
        <v>1554</v>
      </c>
      <c r="V1085" s="141">
        <v>35145</v>
      </c>
      <c r="W1085" s="337"/>
    </row>
    <row r="1086" spans="19:23" ht="12.75">
      <c r="S1086" s="140"/>
      <c r="T1086" s="47" t="s">
        <v>2355</v>
      </c>
      <c r="U1086" s="47" t="s">
        <v>1555</v>
      </c>
      <c r="V1086" s="141">
        <v>50333</v>
      </c>
      <c r="W1086" s="337"/>
    </row>
    <row r="1087" spans="19:23" ht="12.75">
      <c r="S1087" s="140"/>
      <c r="T1087" s="47" t="s">
        <v>2352</v>
      </c>
      <c r="U1087" s="47" t="s">
        <v>1552</v>
      </c>
      <c r="V1087" s="141">
        <v>53803</v>
      </c>
      <c r="W1087" s="337"/>
    </row>
    <row r="1088" spans="19:23" ht="12.75">
      <c r="S1088" s="140"/>
      <c r="T1088" s="47" t="s">
        <v>2353</v>
      </c>
      <c r="U1088" s="47" t="s">
        <v>1553</v>
      </c>
      <c r="V1088" s="141">
        <v>35145</v>
      </c>
      <c r="W1088" s="337"/>
    </row>
    <row r="1089" spans="19:23" ht="12.75">
      <c r="S1089" s="140"/>
      <c r="T1089" s="47" t="s">
        <v>1244</v>
      </c>
      <c r="U1089" s="47" t="s">
        <v>4644</v>
      </c>
      <c r="V1089" s="141">
        <v>127721</v>
      </c>
      <c r="W1089" s="337"/>
    </row>
    <row r="1090" spans="19:23" ht="12.75">
      <c r="S1090" s="140"/>
      <c r="T1090" s="47" t="s">
        <v>1250</v>
      </c>
      <c r="U1090" s="47" t="s">
        <v>4650</v>
      </c>
      <c r="V1090" s="141">
        <v>133351</v>
      </c>
      <c r="W1090" s="337"/>
    </row>
    <row r="1091" spans="19:23" ht="12.75">
      <c r="S1091" s="140"/>
      <c r="T1091" s="47" t="s">
        <v>1247</v>
      </c>
      <c r="U1091" s="47" t="s">
        <v>4647</v>
      </c>
      <c r="V1091" s="141">
        <v>140569</v>
      </c>
      <c r="W1091" s="337"/>
    </row>
    <row r="1092" spans="19:23" ht="12.75">
      <c r="S1092" s="140"/>
      <c r="T1092" s="47" t="s">
        <v>1256</v>
      </c>
      <c r="U1092" s="47" t="s">
        <v>4656</v>
      </c>
      <c r="V1092" s="141">
        <v>157561</v>
      </c>
      <c r="W1092" s="337"/>
    </row>
    <row r="1093" spans="19:23" ht="12.75">
      <c r="S1093" s="140"/>
      <c r="T1093" s="47" t="s">
        <v>1253</v>
      </c>
      <c r="U1093" s="47" t="s">
        <v>4653</v>
      </c>
      <c r="V1093" s="141">
        <v>164778</v>
      </c>
      <c r="W1093" s="337"/>
    </row>
    <row r="1094" spans="19:23" ht="12.75">
      <c r="S1094" s="140"/>
      <c r="T1094" s="47" t="s">
        <v>334</v>
      </c>
      <c r="U1094" s="47" t="s">
        <v>335</v>
      </c>
      <c r="V1094" s="141">
        <v>254758</v>
      </c>
      <c r="W1094" s="139"/>
    </row>
    <row r="1095" spans="19:23" ht="12.75">
      <c r="S1095" s="140"/>
      <c r="T1095" s="47" t="s">
        <v>1245</v>
      </c>
      <c r="U1095" s="47" t="s">
        <v>4645</v>
      </c>
      <c r="V1095" s="141">
        <v>147969</v>
      </c>
      <c r="W1095" s="337"/>
    </row>
    <row r="1096" spans="19:23" ht="12.75">
      <c r="S1096" s="140"/>
      <c r="T1096" s="47" t="s">
        <v>1251</v>
      </c>
      <c r="U1096" s="47" t="s">
        <v>4651</v>
      </c>
      <c r="V1096" s="141">
        <v>153601</v>
      </c>
      <c r="W1096" s="337"/>
    </row>
    <row r="1097" spans="19:23" ht="12.75">
      <c r="S1097" s="140"/>
      <c r="T1097" s="47" t="s">
        <v>1248</v>
      </c>
      <c r="U1097" s="47" t="s">
        <v>4648</v>
      </c>
      <c r="V1097" s="141">
        <v>160818</v>
      </c>
      <c r="W1097" s="337"/>
    </row>
    <row r="1098" spans="19:23" ht="12.75">
      <c r="S1098" s="140"/>
      <c r="T1098" s="47" t="s">
        <v>1257</v>
      </c>
      <c r="U1098" s="47" t="s">
        <v>4657</v>
      </c>
      <c r="V1098" s="141">
        <v>177811</v>
      </c>
      <c r="W1098" s="337"/>
    </row>
    <row r="1099" spans="19:23" ht="12.75">
      <c r="S1099" s="140"/>
      <c r="T1099" s="47" t="s">
        <v>1254</v>
      </c>
      <c r="U1099" s="47" t="s">
        <v>4654</v>
      </c>
      <c r="V1099" s="141">
        <v>185028</v>
      </c>
      <c r="W1099" s="337"/>
    </row>
    <row r="1100" spans="19:23" ht="12.75">
      <c r="S1100" s="140"/>
      <c r="T1100" s="47" t="s">
        <v>1243</v>
      </c>
      <c r="U1100" s="47" t="s">
        <v>435</v>
      </c>
      <c r="V1100" s="141">
        <v>152543</v>
      </c>
      <c r="W1100" s="337"/>
    </row>
    <row r="1101" spans="19:23" ht="12.75">
      <c r="S1101" s="140"/>
      <c r="T1101" s="47" t="s">
        <v>1249</v>
      </c>
      <c r="U1101" s="47" t="s">
        <v>4649</v>
      </c>
      <c r="V1101" s="141">
        <v>158174</v>
      </c>
      <c r="W1101" s="337"/>
    </row>
    <row r="1102" spans="19:23" ht="12.75">
      <c r="S1102" s="140"/>
      <c r="T1102" s="47" t="s">
        <v>1246</v>
      </c>
      <c r="U1102" s="47" t="s">
        <v>4646</v>
      </c>
      <c r="V1102" s="141">
        <v>165391</v>
      </c>
      <c r="W1102" s="337"/>
    </row>
    <row r="1103" spans="19:23" ht="12.75">
      <c r="S1103" s="140"/>
      <c r="T1103" s="47" t="s">
        <v>1255</v>
      </c>
      <c r="U1103" s="47" t="s">
        <v>4655</v>
      </c>
      <c r="V1103" s="141">
        <v>182383</v>
      </c>
      <c r="W1103" s="337"/>
    </row>
    <row r="1104" spans="19:23" ht="12.75">
      <c r="S1104" s="140"/>
      <c r="T1104" s="47" t="s">
        <v>1252</v>
      </c>
      <c r="U1104" s="47" t="s">
        <v>4652</v>
      </c>
      <c r="V1104" s="141">
        <v>189601</v>
      </c>
      <c r="W1104" s="337"/>
    </row>
    <row r="1105" spans="19:23" ht="12.75">
      <c r="S1105" s="140"/>
      <c r="T1105" s="47" t="s">
        <v>1259</v>
      </c>
      <c r="U1105" s="47" t="s">
        <v>4659</v>
      </c>
      <c r="V1105" s="141">
        <v>128679</v>
      </c>
      <c r="W1105" s="337"/>
    </row>
    <row r="1106" spans="19:23" ht="12.75">
      <c r="S1106" s="140"/>
      <c r="T1106" s="47" t="s">
        <v>1693</v>
      </c>
      <c r="U1106" s="47" t="s">
        <v>2117</v>
      </c>
      <c r="V1106" s="141">
        <v>134309</v>
      </c>
      <c r="W1106" s="337"/>
    </row>
    <row r="1107" spans="19:23" ht="12.75">
      <c r="S1107" s="140"/>
      <c r="T1107" s="47" t="s">
        <v>1690</v>
      </c>
      <c r="U1107" s="47" t="s">
        <v>4662</v>
      </c>
      <c r="V1107" s="141">
        <v>141526</v>
      </c>
      <c r="W1107" s="337"/>
    </row>
    <row r="1108" spans="19:23" ht="12.75">
      <c r="S1108" s="140"/>
      <c r="T1108" s="47" t="s">
        <v>1699</v>
      </c>
      <c r="U1108" s="47" t="s">
        <v>2123</v>
      </c>
      <c r="V1108" s="141">
        <v>158519</v>
      </c>
      <c r="W1108" s="337"/>
    </row>
    <row r="1109" spans="19:23" ht="12.75">
      <c r="S1109" s="140"/>
      <c r="T1109" s="47" t="s">
        <v>1696</v>
      </c>
      <c r="U1109" s="47" t="s">
        <v>2120</v>
      </c>
      <c r="V1109" s="141">
        <v>165735</v>
      </c>
      <c r="W1109" s="339"/>
    </row>
    <row r="1110" spans="19:23" ht="12.75">
      <c r="S1110" s="140"/>
      <c r="T1110" s="47" t="s">
        <v>336</v>
      </c>
      <c r="U1110" s="47" t="s">
        <v>337</v>
      </c>
      <c r="V1110" s="141">
        <v>255715</v>
      </c>
      <c r="W1110" s="139"/>
    </row>
    <row r="1111" spans="19:23" ht="12.75">
      <c r="S1111" s="140"/>
      <c r="T1111" s="47" t="s">
        <v>1260</v>
      </c>
      <c r="U1111" s="47" t="s">
        <v>4660</v>
      </c>
      <c r="V1111" s="141">
        <v>148928</v>
      </c>
      <c r="W1111" s="339"/>
    </row>
    <row r="1112" spans="19:23" ht="12.75">
      <c r="S1112" s="140"/>
      <c r="T1112" s="47" t="s">
        <v>1694</v>
      </c>
      <c r="U1112" s="47" t="s">
        <v>2118</v>
      </c>
      <c r="V1112" s="141">
        <v>154558</v>
      </c>
      <c r="W1112" s="339"/>
    </row>
    <row r="1113" spans="19:23" ht="12.75">
      <c r="S1113" s="140"/>
      <c r="T1113" s="47" t="s">
        <v>1691</v>
      </c>
      <c r="U1113" s="47" t="s">
        <v>4663</v>
      </c>
      <c r="V1113" s="141">
        <v>161776</v>
      </c>
      <c r="W1113" s="339"/>
    </row>
    <row r="1114" spans="19:23" ht="12.75">
      <c r="S1114" s="140"/>
      <c r="T1114" s="47" t="s">
        <v>1700</v>
      </c>
      <c r="U1114" s="47" t="s">
        <v>2124</v>
      </c>
      <c r="V1114" s="141">
        <v>178768</v>
      </c>
      <c r="W1114" s="339"/>
    </row>
    <row r="1115" spans="19:23" ht="12.75">
      <c r="S1115" s="140"/>
      <c r="T1115" s="47" t="s">
        <v>1697</v>
      </c>
      <c r="U1115" s="47" t="s">
        <v>2121</v>
      </c>
      <c r="V1115" s="141">
        <v>185986</v>
      </c>
      <c r="W1115" s="339"/>
    </row>
    <row r="1116" spans="19:23" ht="12.75">
      <c r="S1116" s="140"/>
      <c r="T1116" s="47" t="s">
        <v>1258</v>
      </c>
      <c r="U1116" s="47" t="s">
        <v>4658</v>
      </c>
      <c r="V1116" s="141">
        <v>153501</v>
      </c>
      <c r="W1116" s="339"/>
    </row>
    <row r="1117" spans="19:23" ht="12.75">
      <c r="S1117" s="140"/>
      <c r="T1117" s="47" t="s">
        <v>1692</v>
      </c>
      <c r="U1117" s="47" t="s">
        <v>2116</v>
      </c>
      <c r="V1117" s="141">
        <v>159131</v>
      </c>
      <c r="W1117" s="339"/>
    </row>
    <row r="1118" spans="19:23" ht="12.75">
      <c r="S1118" s="140"/>
      <c r="T1118" s="47" t="s">
        <v>1261</v>
      </c>
      <c r="U1118" s="47" t="s">
        <v>4661</v>
      </c>
      <c r="V1118" s="141">
        <v>166348</v>
      </c>
      <c r="W1118" s="339"/>
    </row>
    <row r="1119" spans="19:23" ht="12.75">
      <c r="S1119" s="140"/>
      <c r="T1119" s="47" t="s">
        <v>1698</v>
      </c>
      <c r="U1119" s="47" t="s">
        <v>2122</v>
      </c>
      <c r="V1119" s="141">
        <v>183339</v>
      </c>
      <c r="W1119" s="339"/>
    </row>
    <row r="1120" spans="19:23" ht="12.75">
      <c r="S1120" s="140"/>
      <c r="T1120" s="47" t="s">
        <v>1695</v>
      </c>
      <c r="U1120" s="47" t="s">
        <v>2119</v>
      </c>
      <c r="V1120" s="141">
        <v>190557</v>
      </c>
      <c r="W1120" s="339"/>
    </row>
    <row r="1121" spans="19:23" ht="12.75">
      <c r="S1121" s="140"/>
      <c r="T1121" s="47" t="s">
        <v>1702</v>
      </c>
      <c r="U1121" s="47" t="s">
        <v>2126</v>
      </c>
      <c r="V1121" s="141">
        <v>156427</v>
      </c>
      <c r="W1121" s="139"/>
    </row>
    <row r="1122" spans="19:23" ht="12.75">
      <c r="S1122" s="140"/>
      <c r="T1122" s="47" t="s">
        <v>1708</v>
      </c>
      <c r="U1122" s="47" t="s">
        <v>2132</v>
      </c>
      <c r="V1122" s="141">
        <v>162057</v>
      </c>
      <c r="W1122" s="139"/>
    </row>
    <row r="1123" spans="19:23" ht="12.75">
      <c r="S1123" s="140"/>
      <c r="T1123" s="47" t="s">
        <v>1705</v>
      </c>
      <c r="U1123" s="47" t="s">
        <v>2129</v>
      </c>
      <c r="V1123" s="141">
        <v>169276</v>
      </c>
      <c r="W1123" s="139"/>
    </row>
    <row r="1124" spans="19:23" ht="12.75">
      <c r="S1124" s="140"/>
      <c r="T1124" s="47" t="s">
        <v>1714</v>
      </c>
      <c r="U1124" s="47" t="s">
        <v>2138</v>
      </c>
      <c r="V1124" s="141">
        <v>186267</v>
      </c>
      <c r="W1124" s="139"/>
    </row>
    <row r="1125" spans="19:23" ht="12.75">
      <c r="S1125" s="140"/>
      <c r="T1125" s="47" t="s">
        <v>1711</v>
      </c>
      <c r="U1125" s="47" t="s">
        <v>2135</v>
      </c>
      <c r="V1125" s="141">
        <v>193483</v>
      </c>
      <c r="W1125" s="139"/>
    </row>
    <row r="1126" spans="19:23" ht="12.75">
      <c r="S1126" s="140"/>
      <c r="T1126" s="47" t="s">
        <v>338</v>
      </c>
      <c r="U1126" s="47" t="s">
        <v>339</v>
      </c>
      <c r="V1126" s="141">
        <v>283463</v>
      </c>
      <c r="W1126" s="139"/>
    </row>
    <row r="1127" spans="19:23" ht="12.75">
      <c r="S1127" s="140"/>
      <c r="T1127" s="47" t="s">
        <v>1703</v>
      </c>
      <c r="U1127" s="47" t="s">
        <v>2127</v>
      </c>
      <c r="V1127" s="141">
        <v>176676</v>
      </c>
      <c r="W1127" s="337"/>
    </row>
    <row r="1128" spans="19:23" ht="12.75">
      <c r="S1128" s="140"/>
      <c r="T1128" s="47" t="s">
        <v>1709</v>
      </c>
      <c r="U1128" s="47" t="s">
        <v>2133</v>
      </c>
      <c r="V1128" s="141">
        <v>182306</v>
      </c>
      <c r="W1128" s="139"/>
    </row>
    <row r="1129" spans="19:23" ht="12.75">
      <c r="S1129" s="140"/>
      <c r="T1129" s="47" t="s">
        <v>1706</v>
      </c>
      <c r="U1129" s="47" t="s">
        <v>2130</v>
      </c>
      <c r="V1129" s="141">
        <v>189524</v>
      </c>
      <c r="W1129" s="139"/>
    </row>
    <row r="1130" spans="19:23" ht="12.75">
      <c r="S1130" s="140"/>
      <c r="T1130" s="47" t="s">
        <v>1715</v>
      </c>
      <c r="U1130" s="47" t="s">
        <v>2139</v>
      </c>
      <c r="V1130" s="141">
        <v>206517</v>
      </c>
      <c r="W1130" s="139"/>
    </row>
    <row r="1131" spans="19:23" ht="12.75">
      <c r="S1131" s="140"/>
      <c r="T1131" s="47" t="s">
        <v>1712</v>
      </c>
      <c r="U1131" s="47" t="s">
        <v>2136</v>
      </c>
      <c r="V1131" s="141">
        <v>213734</v>
      </c>
      <c r="W1131" s="139"/>
    </row>
    <row r="1132" spans="19:23" ht="12.75">
      <c r="S1132" s="140"/>
      <c r="T1132" s="47" t="s">
        <v>1701</v>
      </c>
      <c r="U1132" s="47" t="s">
        <v>2125</v>
      </c>
      <c r="V1132" s="141">
        <v>181249</v>
      </c>
      <c r="W1132" s="337"/>
    </row>
    <row r="1133" spans="19:23" ht="12.75">
      <c r="S1133" s="140"/>
      <c r="T1133" s="47" t="s">
        <v>1707</v>
      </c>
      <c r="U1133" s="47" t="s">
        <v>2131</v>
      </c>
      <c r="V1133" s="141">
        <v>186880</v>
      </c>
      <c r="W1133" s="337"/>
    </row>
    <row r="1134" spans="19:23" ht="12.75">
      <c r="S1134" s="140"/>
      <c r="T1134" s="47" t="s">
        <v>1704</v>
      </c>
      <c r="U1134" s="47" t="s">
        <v>2128</v>
      </c>
      <c r="V1134" s="141">
        <v>194097</v>
      </c>
      <c r="W1134" s="337"/>
    </row>
    <row r="1135" spans="19:23" ht="12.75">
      <c r="S1135" s="140"/>
      <c r="T1135" s="47" t="s">
        <v>1713</v>
      </c>
      <c r="U1135" s="47" t="s">
        <v>2137</v>
      </c>
      <c r="V1135" s="141">
        <v>211089</v>
      </c>
      <c r="W1135" s="337"/>
    </row>
    <row r="1136" spans="19:23" ht="12.75">
      <c r="S1136" s="140"/>
      <c r="T1136" s="47" t="s">
        <v>1710</v>
      </c>
      <c r="U1136" s="47" t="s">
        <v>2134</v>
      </c>
      <c r="V1136" s="141">
        <v>218307</v>
      </c>
      <c r="W1136" s="337"/>
    </row>
    <row r="1137" spans="19:23" ht="12.75">
      <c r="S1137" s="140"/>
      <c r="T1137" s="47" t="s">
        <v>1717</v>
      </c>
      <c r="U1137" s="47" t="s">
        <v>1332</v>
      </c>
      <c r="V1137" s="141">
        <v>155458</v>
      </c>
      <c r="W1137" s="339"/>
    </row>
    <row r="1138" spans="19:23" ht="12.75">
      <c r="S1138" s="140"/>
      <c r="T1138" s="47" t="s">
        <v>1723</v>
      </c>
      <c r="U1138" s="47" t="s">
        <v>1338</v>
      </c>
      <c r="V1138" s="141">
        <v>161088</v>
      </c>
      <c r="W1138" s="339"/>
    </row>
    <row r="1139" spans="19:23" ht="12.75">
      <c r="S1139" s="140"/>
      <c r="T1139" s="47" t="s">
        <v>1720</v>
      </c>
      <c r="U1139" s="47" t="s">
        <v>1335</v>
      </c>
      <c r="V1139" s="141">
        <v>168307</v>
      </c>
      <c r="W1139" s="339"/>
    </row>
    <row r="1140" spans="19:23" ht="12.75">
      <c r="S1140" s="140"/>
      <c r="T1140" s="47" t="s">
        <v>1729</v>
      </c>
      <c r="U1140" s="47" t="s">
        <v>1344</v>
      </c>
      <c r="V1140" s="141">
        <v>185298</v>
      </c>
      <c r="W1140" s="339"/>
    </row>
    <row r="1141" spans="19:23" ht="12.75">
      <c r="S1141" s="140"/>
      <c r="T1141" s="47" t="s">
        <v>1726</v>
      </c>
      <c r="U1141" s="47" t="s">
        <v>1341</v>
      </c>
      <c r="V1141" s="141">
        <v>192515</v>
      </c>
      <c r="W1141" s="339"/>
    </row>
    <row r="1142" spans="19:23" ht="12.75">
      <c r="S1142" s="140"/>
      <c r="T1142" s="47" t="s">
        <v>340</v>
      </c>
      <c r="U1142" s="47" t="s">
        <v>341</v>
      </c>
      <c r="V1142" s="141">
        <v>282494</v>
      </c>
      <c r="W1142" s="139"/>
    </row>
    <row r="1143" spans="19:23" ht="12.75">
      <c r="S1143" s="140"/>
      <c r="T1143" s="47" t="s">
        <v>1718</v>
      </c>
      <c r="U1143" s="47" t="s">
        <v>1333</v>
      </c>
      <c r="V1143" s="141">
        <v>175707</v>
      </c>
      <c r="W1143" s="339"/>
    </row>
    <row r="1144" spans="19:23" ht="12.75">
      <c r="S1144" s="140"/>
      <c r="T1144" s="47" t="s">
        <v>1724</v>
      </c>
      <c r="U1144" s="47" t="s">
        <v>1339</v>
      </c>
      <c r="V1144" s="141">
        <v>181337</v>
      </c>
      <c r="W1144" s="139"/>
    </row>
    <row r="1145" spans="19:23" ht="12.75">
      <c r="S1145" s="140"/>
      <c r="T1145" s="47" t="s">
        <v>1721</v>
      </c>
      <c r="U1145" s="47" t="s">
        <v>1336</v>
      </c>
      <c r="V1145" s="141">
        <v>188555</v>
      </c>
      <c r="W1145" s="139"/>
    </row>
    <row r="1146" spans="19:23" ht="12.75">
      <c r="S1146" s="140"/>
      <c r="T1146" s="47" t="s">
        <v>1730</v>
      </c>
      <c r="U1146" s="47" t="s">
        <v>1345</v>
      </c>
      <c r="V1146" s="141">
        <v>205546</v>
      </c>
      <c r="W1146" s="139"/>
    </row>
    <row r="1147" spans="19:23" ht="12.75">
      <c r="S1147" s="140"/>
      <c r="T1147" s="47" t="s">
        <v>1727</v>
      </c>
      <c r="U1147" s="47" t="s">
        <v>1342</v>
      </c>
      <c r="V1147" s="141">
        <v>212764</v>
      </c>
      <c r="W1147" s="139"/>
    </row>
    <row r="1148" spans="19:23" ht="12.75">
      <c r="S1148" s="140"/>
      <c r="T1148" s="47" t="s">
        <v>1716</v>
      </c>
      <c r="U1148" s="47" t="s">
        <v>1331</v>
      </c>
      <c r="V1148" s="141">
        <v>180279</v>
      </c>
      <c r="W1148" s="139"/>
    </row>
    <row r="1149" spans="19:23" ht="12.75">
      <c r="S1149" s="140"/>
      <c r="T1149" s="47" t="s">
        <v>1722</v>
      </c>
      <c r="U1149" s="47" t="s">
        <v>1337</v>
      </c>
      <c r="V1149" s="141">
        <v>185910</v>
      </c>
      <c r="W1149" s="139"/>
    </row>
    <row r="1150" spans="19:23" ht="12.75">
      <c r="S1150" s="140"/>
      <c r="T1150" s="47" t="s">
        <v>1719</v>
      </c>
      <c r="U1150" s="47" t="s">
        <v>1334</v>
      </c>
      <c r="V1150" s="141">
        <v>193126</v>
      </c>
      <c r="W1150" s="139"/>
    </row>
    <row r="1151" spans="19:23" ht="12.75">
      <c r="S1151" s="140"/>
      <c r="T1151" s="47" t="s">
        <v>1728</v>
      </c>
      <c r="U1151" s="47" t="s">
        <v>1343</v>
      </c>
      <c r="V1151" s="141">
        <v>210118</v>
      </c>
      <c r="W1151" s="139"/>
    </row>
    <row r="1152" spans="19:23" ht="12.75">
      <c r="S1152" s="140"/>
      <c r="T1152" s="47" t="s">
        <v>1725</v>
      </c>
      <c r="U1152" s="47" t="s">
        <v>1340</v>
      </c>
      <c r="V1152" s="141">
        <v>217335</v>
      </c>
      <c r="W1152" s="139"/>
    </row>
    <row r="1153" spans="19:23" ht="12.75">
      <c r="S1153" s="140"/>
      <c r="T1153" s="47" t="s">
        <v>1732</v>
      </c>
      <c r="U1153" s="47" t="s">
        <v>1347</v>
      </c>
      <c r="V1153" s="141">
        <v>165838</v>
      </c>
      <c r="W1153" s="337"/>
    </row>
    <row r="1154" spans="19:23" ht="12.75">
      <c r="S1154" s="140"/>
      <c r="T1154" s="47" t="s">
        <v>1738</v>
      </c>
      <c r="U1154" s="47" t="s">
        <v>1353</v>
      </c>
      <c r="V1154" s="141">
        <v>171470</v>
      </c>
      <c r="W1154" s="337"/>
    </row>
    <row r="1155" spans="19:23" ht="12.75">
      <c r="S1155" s="140"/>
      <c r="T1155" s="47" t="s">
        <v>1735</v>
      </c>
      <c r="U1155" s="47" t="s">
        <v>1350</v>
      </c>
      <c r="V1155" s="141">
        <v>178686</v>
      </c>
      <c r="W1155" s="337"/>
    </row>
    <row r="1156" spans="19:23" ht="12.75">
      <c r="S1156" s="140"/>
      <c r="T1156" s="47" t="s">
        <v>1744</v>
      </c>
      <c r="U1156" s="47" t="s">
        <v>1359</v>
      </c>
      <c r="V1156" s="141">
        <v>195677</v>
      </c>
      <c r="W1156" s="337"/>
    </row>
    <row r="1157" spans="19:23" ht="12.75">
      <c r="S1157" s="140"/>
      <c r="T1157" s="47" t="s">
        <v>1741</v>
      </c>
      <c r="U1157" s="47" t="s">
        <v>1356</v>
      </c>
      <c r="V1157" s="141">
        <v>202895</v>
      </c>
      <c r="W1157" s="337"/>
    </row>
    <row r="1158" spans="19:23" ht="12.75">
      <c r="S1158" s="140"/>
      <c r="T1158" s="47" t="s">
        <v>342</v>
      </c>
      <c r="U1158" s="47" t="s">
        <v>343</v>
      </c>
      <c r="V1158" s="141">
        <v>292874</v>
      </c>
      <c r="W1158" s="139"/>
    </row>
    <row r="1159" spans="19:23" ht="12.75">
      <c r="S1159" s="140"/>
      <c r="T1159" s="47" t="s">
        <v>1733</v>
      </c>
      <c r="U1159" s="47" t="s">
        <v>1348</v>
      </c>
      <c r="V1159" s="141">
        <v>186086</v>
      </c>
      <c r="W1159" s="337"/>
    </row>
    <row r="1160" spans="19:23" ht="12.75">
      <c r="S1160" s="140"/>
      <c r="T1160" s="47" t="s">
        <v>1739</v>
      </c>
      <c r="U1160" s="47" t="s">
        <v>1354</v>
      </c>
      <c r="V1160" s="141">
        <v>191717</v>
      </c>
      <c r="W1160" s="337"/>
    </row>
    <row r="1161" spans="19:23" ht="12.75">
      <c r="S1161" s="140"/>
      <c r="T1161" s="47" t="s">
        <v>1736</v>
      </c>
      <c r="U1161" s="47" t="s">
        <v>1351</v>
      </c>
      <c r="V1161" s="141">
        <v>198934</v>
      </c>
      <c r="W1161" s="337"/>
    </row>
    <row r="1162" spans="19:23" ht="12.75">
      <c r="S1162" s="140"/>
      <c r="T1162" s="47" t="s">
        <v>1745</v>
      </c>
      <c r="U1162" s="47" t="s">
        <v>4697</v>
      </c>
      <c r="V1162" s="141">
        <v>215925</v>
      </c>
      <c r="W1162" s="337"/>
    </row>
    <row r="1163" spans="19:23" ht="12.75">
      <c r="S1163" s="140"/>
      <c r="T1163" s="47" t="s">
        <v>1742</v>
      </c>
      <c r="U1163" s="47" t="s">
        <v>1357</v>
      </c>
      <c r="V1163" s="141">
        <v>223144</v>
      </c>
      <c r="W1163" s="337"/>
    </row>
    <row r="1164" spans="19:23" ht="12.75">
      <c r="S1164" s="140"/>
      <c r="T1164" s="47" t="s">
        <v>1731</v>
      </c>
      <c r="U1164" s="47" t="s">
        <v>1346</v>
      </c>
      <c r="V1164" s="141">
        <v>190660</v>
      </c>
      <c r="W1164" s="337"/>
    </row>
    <row r="1165" spans="19:23" ht="12.75">
      <c r="S1165" s="140"/>
      <c r="T1165" s="47" t="s">
        <v>1737</v>
      </c>
      <c r="U1165" s="47" t="s">
        <v>1352</v>
      </c>
      <c r="V1165" s="141">
        <v>196290</v>
      </c>
      <c r="W1165" s="337"/>
    </row>
    <row r="1166" spans="19:23" ht="12.75">
      <c r="S1166" s="140"/>
      <c r="T1166" s="47" t="s">
        <v>1734</v>
      </c>
      <c r="U1166" s="47" t="s">
        <v>1349</v>
      </c>
      <c r="V1166" s="141">
        <v>203507</v>
      </c>
      <c r="W1166" s="337"/>
    </row>
    <row r="1167" spans="19:23" ht="12.75">
      <c r="S1167" s="140"/>
      <c r="T1167" s="47" t="s">
        <v>1743</v>
      </c>
      <c r="U1167" s="47" t="s">
        <v>1358</v>
      </c>
      <c r="V1167" s="141">
        <v>220498</v>
      </c>
      <c r="W1167" s="337"/>
    </row>
    <row r="1168" spans="19:23" ht="12.75">
      <c r="S1168" s="140"/>
      <c r="T1168" s="47" t="s">
        <v>1740</v>
      </c>
      <c r="U1168" s="47" t="s">
        <v>1355</v>
      </c>
      <c r="V1168" s="141">
        <v>227717</v>
      </c>
      <c r="W1168" s="337"/>
    </row>
    <row r="1169" spans="19:23" ht="12.75">
      <c r="S1169" s="140"/>
      <c r="T1169" s="47" t="s">
        <v>2707</v>
      </c>
      <c r="U1169" s="47" t="s">
        <v>4699</v>
      </c>
      <c r="V1169" s="141">
        <v>198371</v>
      </c>
      <c r="W1169" s="139"/>
    </row>
    <row r="1170" spans="19:23" ht="12.75">
      <c r="S1170" s="140"/>
      <c r="T1170" s="47" t="s">
        <v>2713</v>
      </c>
      <c r="U1170" s="47" t="s">
        <v>4705</v>
      </c>
      <c r="V1170" s="141">
        <v>204001</v>
      </c>
      <c r="W1170" s="139"/>
    </row>
    <row r="1171" spans="19:23" ht="12.75">
      <c r="S1171" s="140"/>
      <c r="T1171" s="47" t="s">
        <v>2710</v>
      </c>
      <c r="U1171" s="47" t="s">
        <v>4702</v>
      </c>
      <c r="V1171" s="141">
        <v>211220</v>
      </c>
      <c r="W1171" s="139"/>
    </row>
    <row r="1172" spans="19:23" ht="12.75">
      <c r="S1172" s="140"/>
      <c r="T1172" s="47" t="s">
        <v>4993</v>
      </c>
      <c r="U1172" s="47" t="s">
        <v>4711</v>
      </c>
      <c r="V1172" s="141">
        <v>228210</v>
      </c>
      <c r="W1172" s="139"/>
    </row>
    <row r="1173" spans="19:23" ht="12.75">
      <c r="S1173" s="140"/>
      <c r="T1173" s="47" t="s">
        <v>2716</v>
      </c>
      <c r="U1173" s="47" t="s">
        <v>4708</v>
      </c>
      <c r="V1173" s="141">
        <v>235428</v>
      </c>
      <c r="W1173" s="139"/>
    </row>
    <row r="1174" spans="19:23" ht="12.75">
      <c r="S1174" s="140"/>
      <c r="T1174" s="47" t="s">
        <v>344</v>
      </c>
      <c r="U1174" s="47" t="s">
        <v>345</v>
      </c>
      <c r="V1174" s="141">
        <v>325407</v>
      </c>
      <c r="W1174" s="139"/>
    </row>
    <row r="1175" spans="19:23" ht="12.75">
      <c r="S1175" s="140"/>
      <c r="T1175" s="47" t="s">
        <v>2708</v>
      </c>
      <c r="U1175" s="47" t="s">
        <v>4700</v>
      </c>
      <c r="V1175" s="141">
        <v>218620</v>
      </c>
      <c r="W1175" s="139"/>
    </row>
    <row r="1176" spans="19:23" ht="12.75">
      <c r="S1176" s="140"/>
      <c r="T1176" s="47" t="s">
        <v>2714</v>
      </c>
      <c r="U1176" s="47" t="s">
        <v>4706</v>
      </c>
      <c r="V1176" s="141">
        <v>224251</v>
      </c>
      <c r="W1176" s="139"/>
    </row>
    <row r="1177" spans="19:23" ht="12.75">
      <c r="S1177" s="140"/>
      <c r="T1177" s="47" t="s">
        <v>2711</v>
      </c>
      <c r="U1177" s="47" t="s">
        <v>4703</v>
      </c>
      <c r="V1177" s="141">
        <v>231467</v>
      </c>
      <c r="W1177" s="139"/>
    </row>
    <row r="1178" spans="19:23" ht="12.75">
      <c r="S1178" s="140"/>
      <c r="T1178" s="47" t="s">
        <v>1751</v>
      </c>
      <c r="U1178" s="47" t="s">
        <v>4712</v>
      </c>
      <c r="V1178" s="141">
        <v>248460</v>
      </c>
      <c r="W1178" s="139"/>
    </row>
    <row r="1179" spans="19:23" ht="12.75">
      <c r="S1179" s="140"/>
      <c r="T1179" s="47" t="s">
        <v>4991</v>
      </c>
      <c r="U1179" s="47" t="s">
        <v>4709</v>
      </c>
      <c r="V1179" s="141">
        <v>255677</v>
      </c>
      <c r="W1179" s="139"/>
    </row>
    <row r="1180" spans="19:23" ht="12.75">
      <c r="S1180" s="140"/>
      <c r="T1180" s="47" t="s">
        <v>1746</v>
      </c>
      <c r="U1180" s="47" t="s">
        <v>4698</v>
      </c>
      <c r="V1180" s="141">
        <v>223192</v>
      </c>
      <c r="W1180" s="139"/>
    </row>
    <row r="1181" spans="19:23" ht="12.75">
      <c r="S1181" s="140"/>
      <c r="T1181" s="47" t="s">
        <v>2712</v>
      </c>
      <c r="U1181" s="47" t="s">
        <v>4704</v>
      </c>
      <c r="V1181" s="141">
        <v>228822</v>
      </c>
      <c r="W1181" s="139"/>
    </row>
    <row r="1182" spans="19:23" ht="12.75">
      <c r="S1182" s="140"/>
      <c r="T1182" s="47" t="s">
        <v>2709</v>
      </c>
      <c r="U1182" s="47" t="s">
        <v>4701</v>
      </c>
      <c r="V1182" s="141">
        <v>236040</v>
      </c>
      <c r="W1182" s="139"/>
    </row>
    <row r="1183" spans="19:23" ht="12.75">
      <c r="S1183" s="140"/>
      <c r="T1183" s="47" t="s">
        <v>4992</v>
      </c>
      <c r="U1183" s="47" t="s">
        <v>4710</v>
      </c>
      <c r="V1183" s="141">
        <v>253032</v>
      </c>
      <c r="W1183" s="139"/>
    </row>
    <row r="1184" spans="19:23" ht="12.75">
      <c r="S1184" s="140"/>
      <c r="T1184" s="47" t="s">
        <v>2715</v>
      </c>
      <c r="U1184" s="47" t="s">
        <v>4707</v>
      </c>
      <c r="V1184" s="141">
        <v>260250</v>
      </c>
      <c r="W1184" s="139"/>
    </row>
    <row r="1185" spans="19:23" ht="12.75">
      <c r="S1185" s="140"/>
      <c r="T1185" s="47" t="s">
        <v>1753</v>
      </c>
      <c r="U1185" s="47" t="s">
        <v>4714</v>
      </c>
      <c r="V1185" s="141">
        <v>192342</v>
      </c>
      <c r="W1185" s="139"/>
    </row>
    <row r="1186" spans="19:23" ht="12.75">
      <c r="S1186" s="140"/>
      <c r="T1186" s="47" t="s">
        <v>1759</v>
      </c>
      <c r="U1186" s="47" t="s">
        <v>4720</v>
      </c>
      <c r="V1186" s="141">
        <v>197972</v>
      </c>
      <c r="W1186" s="139"/>
    </row>
    <row r="1187" spans="19:23" ht="12.75">
      <c r="S1187" s="140"/>
      <c r="T1187" s="47" t="s">
        <v>1756</v>
      </c>
      <c r="U1187" s="47" t="s">
        <v>4717</v>
      </c>
      <c r="V1187" s="141">
        <v>205190</v>
      </c>
      <c r="W1187" s="139"/>
    </row>
    <row r="1188" spans="19:23" ht="12.75">
      <c r="S1188" s="140"/>
      <c r="T1188" s="47" t="s">
        <v>1765</v>
      </c>
      <c r="U1188" s="47" t="s">
        <v>3725</v>
      </c>
      <c r="V1188" s="141">
        <v>222180</v>
      </c>
      <c r="W1188" s="139"/>
    </row>
    <row r="1189" spans="19:23" ht="12.75">
      <c r="S1189" s="140"/>
      <c r="T1189" s="47" t="s">
        <v>1762</v>
      </c>
      <c r="U1189" s="47" t="s">
        <v>3713</v>
      </c>
      <c r="V1189" s="141">
        <v>229399</v>
      </c>
      <c r="W1189" s="139"/>
    </row>
    <row r="1190" spans="19:23" ht="12.75">
      <c r="S1190" s="140"/>
      <c r="T1190" s="47" t="s">
        <v>346</v>
      </c>
      <c r="U1190" s="47" t="s">
        <v>347</v>
      </c>
      <c r="V1190" s="141">
        <v>319378</v>
      </c>
      <c r="W1190" s="139"/>
    </row>
    <row r="1191" spans="19:23" ht="12.75">
      <c r="S1191" s="140"/>
      <c r="T1191" s="47" t="s">
        <v>1754</v>
      </c>
      <c r="U1191" s="47" t="s">
        <v>4715</v>
      </c>
      <c r="V1191" s="141">
        <v>212593</v>
      </c>
      <c r="W1191" s="139"/>
    </row>
    <row r="1192" spans="19:23" ht="12.75">
      <c r="S1192" s="140"/>
      <c r="T1192" s="47" t="s">
        <v>1760</v>
      </c>
      <c r="U1192" s="47" t="s">
        <v>4721</v>
      </c>
      <c r="V1192" s="141">
        <v>218222</v>
      </c>
      <c r="W1192" s="139"/>
    </row>
    <row r="1193" spans="19:23" ht="12.75">
      <c r="S1193" s="140"/>
      <c r="T1193" s="47" t="s">
        <v>1757</v>
      </c>
      <c r="U1193" s="47" t="s">
        <v>4718</v>
      </c>
      <c r="V1193" s="141">
        <v>225439</v>
      </c>
      <c r="W1193" s="139"/>
    </row>
    <row r="1194" spans="19:23" ht="12.75">
      <c r="S1194" s="140"/>
      <c r="T1194" s="47" t="s">
        <v>1766</v>
      </c>
      <c r="U1194" s="47" t="s">
        <v>3726</v>
      </c>
      <c r="V1194" s="141">
        <v>242430</v>
      </c>
      <c r="W1194" s="139"/>
    </row>
    <row r="1195" spans="19:23" ht="12.75">
      <c r="S1195" s="140"/>
      <c r="T1195" s="47" t="s">
        <v>1763</v>
      </c>
      <c r="U1195" s="47" t="s">
        <v>3723</v>
      </c>
      <c r="V1195" s="141">
        <v>249648</v>
      </c>
      <c r="W1195" s="139"/>
    </row>
    <row r="1196" spans="19:23" ht="12.75">
      <c r="S1196" s="140"/>
      <c r="T1196" s="47" t="s">
        <v>1752</v>
      </c>
      <c r="U1196" s="47" t="s">
        <v>4713</v>
      </c>
      <c r="V1196" s="141">
        <v>217163</v>
      </c>
      <c r="W1196" s="139"/>
    </row>
    <row r="1197" spans="19:23" ht="12.75">
      <c r="S1197" s="140"/>
      <c r="T1197" s="47" t="s">
        <v>1758</v>
      </c>
      <c r="U1197" s="47" t="s">
        <v>4719</v>
      </c>
      <c r="V1197" s="141">
        <v>222794</v>
      </c>
      <c r="W1197" s="139"/>
    </row>
    <row r="1198" spans="19:23" ht="12.75">
      <c r="S1198" s="140"/>
      <c r="T1198" s="47" t="s">
        <v>1755</v>
      </c>
      <c r="U1198" s="47" t="s">
        <v>4716</v>
      </c>
      <c r="V1198" s="141">
        <v>230011</v>
      </c>
      <c r="W1198" s="139"/>
    </row>
    <row r="1199" spans="19:23" ht="12.75">
      <c r="S1199" s="140"/>
      <c r="T1199" s="47" t="s">
        <v>1764</v>
      </c>
      <c r="U1199" s="47" t="s">
        <v>3724</v>
      </c>
      <c r="V1199" s="141">
        <v>247003</v>
      </c>
      <c r="W1199" s="139"/>
    </row>
    <row r="1200" spans="19:23" ht="12.75">
      <c r="S1200" s="140"/>
      <c r="T1200" s="47" t="s">
        <v>1761</v>
      </c>
      <c r="U1200" s="47" t="s">
        <v>4722</v>
      </c>
      <c r="V1200" s="141">
        <v>254220</v>
      </c>
      <c r="W1200" s="139"/>
    </row>
    <row r="1201" spans="19:23" ht="12.75">
      <c r="S1201" s="140"/>
      <c r="T1201" s="47" t="s">
        <v>1768</v>
      </c>
      <c r="U1201" s="47" t="s">
        <v>3936</v>
      </c>
      <c r="V1201" s="141">
        <v>184755</v>
      </c>
      <c r="W1201" s="337"/>
    </row>
    <row r="1202" spans="19:23" ht="12.75">
      <c r="S1202" s="140"/>
      <c r="T1202" s="47" t="s">
        <v>1774</v>
      </c>
      <c r="U1202" s="47" t="s">
        <v>1378</v>
      </c>
      <c r="V1202" s="141">
        <v>190386</v>
      </c>
      <c r="W1202" s="337"/>
    </row>
    <row r="1203" spans="19:23" ht="12.75">
      <c r="S1203" s="140"/>
      <c r="T1203" s="47" t="s">
        <v>1771</v>
      </c>
      <c r="U1203" s="47" t="s">
        <v>1375</v>
      </c>
      <c r="V1203" s="141">
        <v>197602</v>
      </c>
      <c r="W1203" s="337"/>
    </row>
    <row r="1204" spans="19:23" ht="12.75">
      <c r="S1204" s="140"/>
      <c r="T1204" s="47" t="s">
        <v>1780</v>
      </c>
      <c r="U1204" s="47" t="s">
        <v>2429</v>
      </c>
      <c r="V1204" s="141">
        <v>214595</v>
      </c>
      <c r="W1204" s="337"/>
    </row>
    <row r="1205" spans="19:23" ht="12.75">
      <c r="S1205" s="140"/>
      <c r="T1205" s="47" t="s">
        <v>1777</v>
      </c>
      <c r="U1205" s="47" t="s">
        <v>2426</v>
      </c>
      <c r="V1205" s="141">
        <v>221812</v>
      </c>
      <c r="W1205" s="337"/>
    </row>
    <row r="1206" spans="19:23" ht="12.75">
      <c r="S1206" s="140"/>
      <c r="T1206" s="47" t="s">
        <v>348</v>
      </c>
      <c r="U1206" s="47" t="s">
        <v>349</v>
      </c>
      <c r="V1206" s="141">
        <v>311792</v>
      </c>
      <c r="W1206" s="139"/>
    </row>
    <row r="1207" spans="19:23" ht="12.75">
      <c r="S1207" s="140"/>
      <c r="T1207" s="47" t="s">
        <v>1769</v>
      </c>
      <c r="U1207" s="47" t="s">
        <v>1373</v>
      </c>
      <c r="V1207" s="141">
        <v>205004</v>
      </c>
      <c r="W1207" s="337"/>
    </row>
    <row r="1208" spans="19:23" ht="12.75">
      <c r="S1208" s="140"/>
      <c r="T1208" s="47" t="s">
        <v>1775</v>
      </c>
      <c r="U1208" s="47" t="s">
        <v>1379</v>
      </c>
      <c r="V1208" s="141">
        <v>210635</v>
      </c>
      <c r="W1208" s="337"/>
    </row>
    <row r="1209" spans="19:23" ht="12.75">
      <c r="S1209" s="140"/>
      <c r="T1209" s="47" t="s">
        <v>1772</v>
      </c>
      <c r="U1209" s="47" t="s">
        <v>1376</v>
      </c>
      <c r="V1209" s="141">
        <v>217852</v>
      </c>
      <c r="W1209" s="337"/>
    </row>
    <row r="1210" spans="19:23" ht="12.75">
      <c r="S1210" s="140"/>
      <c r="T1210" s="47" t="s">
        <v>1781</v>
      </c>
      <c r="U1210" s="47" t="s">
        <v>2430</v>
      </c>
      <c r="V1210" s="141">
        <v>234844</v>
      </c>
      <c r="W1210" s="337"/>
    </row>
    <row r="1211" spans="19:23" ht="12.75">
      <c r="S1211" s="140"/>
      <c r="T1211" s="47" t="s">
        <v>1778</v>
      </c>
      <c r="U1211" s="47" t="s">
        <v>2427</v>
      </c>
      <c r="V1211" s="141">
        <v>242061</v>
      </c>
      <c r="W1211" s="337"/>
    </row>
    <row r="1212" spans="19:23" ht="12.75">
      <c r="S1212" s="140"/>
      <c r="T1212" s="47" t="s">
        <v>1767</v>
      </c>
      <c r="U1212" s="47" t="s">
        <v>3727</v>
      </c>
      <c r="V1212" s="141">
        <v>209576</v>
      </c>
      <c r="W1212" s="337"/>
    </row>
    <row r="1213" spans="19:23" ht="12.75">
      <c r="S1213" s="140"/>
      <c r="T1213" s="47" t="s">
        <v>1773</v>
      </c>
      <c r="U1213" s="47" t="s">
        <v>1377</v>
      </c>
      <c r="V1213" s="141">
        <v>215207</v>
      </c>
      <c r="W1213" s="337"/>
    </row>
    <row r="1214" spans="19:23" ht="12.75">
      <c r="S1214" s="140"/>
      <c r="T1214" s="47" t="s">
        <v>1770</v>
      </c>
      <c r="U1214" s="47" t="s">
        <v>1374</v>
      </c>
      <c r="V1214" s="141">
        <v>222425</v>
      </c>
      <c r="W1214" s="337"/>
    </row>
    <row r="1215" spans="19:23" ht="12.75">
      <c r="S1215" s="140"/>
      <c r="T1215" s="47" t="s">
        <v>1779</v>
      </c>
      <c r="U1215" s="47" t="s">
        <v>2428</v>
      </c>
      <c r="V1215" s="141">
        <v>239416</v>
      </c>
      <c r="W1215" s="337"/>
    </row>
    <row r="1216" spans="19:23" ht="12.75">
      <c r="S1216" s="140"/>
      <c r="T1216" s="47" t="s">
        <v>1776</v>
      </c>
      <c r="U1216" s="47" t="s">
        <v>1380</v>
      </c>
      <c r="V1216" s="141">
        <v>246634</v>
      </c>
      <c r="W1216" s="337"/>
    </row>
    <row r="1217" spans="19:23" ht="12.75">
      <c r="S1217" s="140"/>
      <c r="T1217" s="47" t="s">
        <v>1783</v>
      </c>
      <c r="U1217" s="47" t="s">
        <v>2432</v>
      </c>
      <c r="V1217" s="141">
        <v>210503</v>
      </c>
      <c r="W1217" s="337"/>
    </row>
    <row r="1218" spans="19:23" ht="12.75">
      <c r="S1218" s="140"/>
      <c r="T1218" s="47" t="s">
        <v>1789</v>
      </c>
      <c r="U1218" s="47" t="s">
        <v>2036</v>
      </c>
      <c r="V1218" s="141">
        <v>216132</v>
      </c>
      <c r="W1218" s="337"/>
    </row>
    <row r="1219" spans="19:23" ht="12.75">
      <c r="S1219" s="140"/>
      <c r="T1219" s="47" t="s">
        <v>1786</v>
      </c>
      <c r="U1219" s="47" t="s">
        <v>1389</v>
      </c>
      <c r="V1219" s="141">
        <v>223350</v>
      </c>
      <c r="W1219" s="337"/>
    </row>
    <row r="1220" spans="19:23" ht="12.75">
      <c r="S1220" s="140"/>
      <c r="T1220" s="47" t="s">
        <v>1795</v>
      </c>
      <c r="U1220" s="47" t="s">
        <v>2444</v>
      </c>
      <c r="V1220" s="141">
        <v>240341</v>
      </c>
      <c r="W1220" s="337"/>
    </row>
    <row r="1221" spans="19:23" ht="12.75">
      <c r="S1221" s="140"/>
      <c r="T1221" s="47" t="s">
        <v>1792</v>
      </c>
      <c r="U1221" s="47" t="s">
        <v>2441</v>
      </c>
      <c r="V1221" s="141">
        <v>247560</v>
      </c>
      <c r="W1221" s="337"/>
    </row>
    <row r="1222" spans="19:23" ht="12.75">
      <c r="S1222" s="140"/>
      <c r="T1222" s="47" t="s">
        <v>350</v>
      </c>
      <c r="U1222" s="47" t="s">
        <v>1887</v>
      </c>
      <c r="V1222" s="141">
        <v>337539</v>
      </c>
      <c r="W1222" s="139"/>
    </row>
    <row r="1223" spans="19:23" ht="12.75">
      <c r="S1223" s="140"/>
      <c r="T1223" s="47" t="s">
        <v>1784</v>
      </c>
      <c r="U1223" s="47" t="s">
        <v>1387</v>
      </c>
      <c r="V1223" s="141">
        <v>230752</v>
      </c>
      <c r="W1223" s="337"/>
    </row>
    <row r="1224" spans="19:23" ht="12.75">
      <c r="S1224" s="140"/>
      <c r="T1224" s="47" t="s">
        <v>1790</v>
      </c>
      <c r="U1224" s="47" t="s">
        <v>2037</v>
      </c>
      <c r="V1224" s="141">
        <v>236382</v>
      </c>
      <c r="W1224" s="337"/>
    </row>
    <row r="1225" spans="19:23" ht="12.75">
      <c r="S1225" s="140"/>
      <c r="T1225" s="47" t="s">
        <v>1787</v>
      </c>
      <c r="U1225" s="47" t="s">
        <v>1390</v>
      </c>
      <c r="V1225" s="141">
        <v>243600</v>
      </c>
      <c r="W1225" s="337"/>
    </row>
    <row r="1226" spans="19:23" ht="12.75">
      <c r="S1226" s="140"/>
      <c r="T1226" s="47" t="s">
        <v>1796</v>
      </c>
      <c r="U1226" s="47" t="s">
        <v>2445</v>
      </c>
      <c r="V1226" s="141">
        <v>260591</v>
      </c>
      <c r="W1226" s="337"/>
    </row>
    <row r="1227" spans="19:23" ht="12.75">
      <c r="S1227" s="140"/>
      <c r="T1227" s="47" t="s">
        <v>1793</v>
      </c>
      <c r="U1227" s="47" t="s">
        <v>2442</v>
      </c>
      <c r="V1227" s="141">
        <v>267808</v>
      </c>
      <c r="W1227" s="337"/>
    </row>
    <row r="1228" spans="19:23" ht="12.75">
      <c r="S1228" s="140"/>
      <c r="T1228" s="47" t="s">
        <v>1782</v>
      </c>
      <c r="U1228" s="47" t="s">
        <v>2431</v>
      </c>
      <c r="V1228" s="141">
        <v>235323</v>
      </c>
      <c r="W1228" s="337"/>
    </row>
    <row r="1229" spans="19:23" ht="12.75">
      <c r="S1229" s="140"/>
      <c r="T1229" s="47" t="s">
        <v>1788</v>
      </c>
      <c r="U1229" s="47" t="s">
        <v>2035</v>
      </c>
      <c r="V1229" s="141">
        <v>240955</v>
      </c>
      <c r="W1229" s="337"/>
    </row>
    <row r="1230" spans="19:23" ht="12.75">
      <c r="S1230" s="140"/>
      <c r="T1230" s="47" t="s">
        <v>1785</v>
      </c>
      <c r="U1230" s="47" t="s">
        <v>1388</v>
      </c>
      <c r="V1230" s="141">
        <v>248171</v>
      </c>
      <c r="W1230" s="337"/>
    </row>
    <row r="1231" spans="19:23" ht="12.75">
      <c r="S1231" s="140"/>
      <c r="T1231" s="47" t="s">
        <v>1794</v>
      </c>
      <c r="U1231" s="47" t="s">
        <v>2443</v>
      </c>
      <c r="V1231" s="141">
        <v>265164</v>
      </c>
      <c r="W1231" s="337"/>
    </row>
    <row r="1232" spans="19:23" ht="12.75">
      <c r="S1232" s="140"/>
      <c r="T1232" s="47" t="s">
        <v>1791</v>
      </c>
      <c r="U1232" s="47" t="s">
        <v>2038</v>
      </c>
      <c r="V1232" s="141">
        <v>272381</v>
      </c>
      <c r="W1232" s="337"/>
    </row>
    <row r="1233" spans="19:23" ht="12.75">
      <c r="S1233" s="140"/>
      <c r="T1233" s="47" t="s">
        <v>1420</v>
      </c>
      <c r="U1233" s="47" t="s">
        <v>2447</v>
      </c>
      <c r="V1233" s="141">
        <v>249674</v>
      </c>
      <c r="W1233" s="139"/>
    </row>
    <row r="1234" spans="19:23" ht="12.75">
      <c r="S1234" s="140"/>
      <c r="T1234" s="47" t="s">
        <v>1426</v>
      </c>
      <c r="U1234" s="47" t="s">
        <v>2453</v>
      </c>
      <c r="V1234" s="141">
        <v>255304</v>
      </c>
      <c r="W1234" s="139"/>
    </row>
    <row r="1235" spans="19:23" ht="12.75">
      <c r="S1235" s="140"/>
      <c r="T1235" s="47" t="s">
        <v>1423</v>
      </c>
      <c r="U1235" s="47" t="s">
        <v>2450</v>
      </c>
      <c r="V1235" s="141">
        <v>262522</v>
      </c>
      <c r="W1235" s="139"/>
    </row>
    <row r="1236" spans="19:23" ht="12.75">
      <c r="S1236" s="140"/>
      <c r="T1236" s="47" t="s">
        <v>2776</v>
      </c>
      <c r="U1236" s="47" t="s">
        <v>3997</v>
      </c>
      <c r="V1236" s="141">
        <v>279513</v>
      </c>
      <c r="W1236" s="139"/>
    </row>
    <row r="1237" spans="19:23" ht="12.75">
      <c r="S1237" s="140"/>
      <c r="T1237" s="47" t="s">
        <v>2773</v>
      </c>
      <c r="U1237" s="47" t="s">
        <v>2456</v>
      </c>
      <c r="V1237" s="141">
        <v>286731</v>
      </c>
      <c r="W1237" s="139"/>
    </row>
    <row r="1238" spans="19:23" ht="12.75">
      <c r="S1238" s="140"/>
      <c r="T1238" s="47" t="s">
        <v>1888</v>
      </c>
      <c r="U1238" s="47" t="s">
        <v>1889</v>
      </c>
      <c r="V1238" s="141">
        <v>376710</v>
      </c>
      <c r="W1238" s="139"/>
    </row>
    <row r="1239" spans="19:23" ht="12.75">
      <c r="S1239" s="140"/>
      <c r="T1239" s="47" t="s">
        <v>1421</v>
      </c>
      <c r="U1239" s="47" t="s">
        <v>2448</v>
      </c>
      <c r="V1239" s="141">
        <v>269924</v>
      </c>
      <c r="W1239" s="139"/>
    </row>
    <row r="1240" spans="19:23" ht="12.75">
      <c r="S1240" s="140"/>
      <c r="T1240" s="47" t="s">
        <v>2771</v>
      </c>
      <c r="U1240" s="47" t="s">
        <v>2454</v>
      </c>
      <c r="V1240" s="141">
        <v>275554</v>
      </c>
      <c r="W1240" s="139"/>
    </row>
    <row r="1241" spans="19:23" ht="12.75">
      <c r="S1241" s="140"/>
      <c r="T1241" s="47" t="s">
        <v>1424</v>
      </c>
      <c r="U1241" s="47" t="s">
        <v>2451</v>
      </c>
      <c r="V1241" s="141">
        <v>282772</v>
      </c>
      <c r="W1241" s="139"/>
    </row>
    <row r="1242" spans="19:23" ht="12.75">
      <c r="S1242" s="140"/>
      <c r="T1242" s="47" t="s">
        <v>2777</v>
      </c>
      <c r="U1242" s="47" t="s">
        <v>3998</v>
      </c>
      <c r="V1242" s="141">
        <v>299763</v>
      </c>
      <c r="W1242" s="139"/>
    </row>
    <row r="1243" spans="19:23" ht="12.75">
      <c r="S1243" s="140"/>
      <c r="T1243" s="47" t="s">
        <v>2774</v>
      </c>
      <c r="U1243" s="47" t="s">
        <v>2457</v>
      </c>
      <c r="V1243" s="141">
        <v>306980</v>
      </c>
      <c r="W1243" s="139"/>
    </row>
    <row r="1244" spans="19:23" ht="12.75">
      <c r="S1244" s="140"/>
      <c r="T1244" s="47" t="s">
        <v>1419</v>
      </c>
      <c r="U1244" s="47" t="s">
        <v>2446</v>
      </c>
      <c r="V1244" s="141">
        <v>274495</v>
      </c>
      <c r="W1244" s="139"/>
    </row>
    <row r="1245" spans="19:23" ht="12.75">
      <c r="S1245" s="140"/>
      <c r="T1245" s="47" t="s">
        <v>1425</v>
      </c>
      <c r="U1245" s="47" t="s">
        <v>2452</v>
      </c>
      <c r="V1245" s="141">
        <v>280127</v>
      </c>
      <c r="W1245" s="139"/>
    </row>
    <row r="1246" spans="19:23" ht="12.75">
      <c r="S1246" s="140"/>
      <c r="T1246" s="47" t="s">
        <v>1422</v>
      </c>
      <c r="U1246" s="47" t="s">
        <v>2449</v>
      </c>
      <c r="V1246" s="141">
        <v>287342</v>
      </c>
      <c r="W1246" s="139"/>
    </row>
    <row r="1247" spans="19:23" ht="12.75">
      <c r="S1247" s="140"/>
      <c r="T1247" s="47" t="s">
        <v>2775</v>
      </c>
      <c r="U1247" s="47" t="s">
        <v>2458</v>
      </c>
      <c r="V1247" s="141">
        <v>304336</v>
      </c>
      <c r="W1247" s="139"/>
    </row>
    <row r="1248" spans="19:23" ht="12.75">
      <c r="S1248" s="140"/>
      <c r="T1248" s="47" t="s">
        <v>2772</v>
      </c>
      <c r="U1248" s="47" t="s">
        <v>2455</v>
      </c>
      <c r="V1248" s="141">
        <v>311552</v>
      </c>
      <c r="W1248" s="139"/>
    </row>
    <row r="1249" spans="19:23" ht="12.75">
      <c r="S1249" s="140"/>
      <c r="T1249" s="47" t="s">
        <v>2779</v>
      </c>
      <c r="U1249" s="47" t="s">
        <v>4000</v>
      </c>
      <c r="V1249" s="141">
        <v>249736</v>
      </c>
      <c r="W1249" s="139"/>
    </row>
    <row r="1250" spans="19:23" ht="12.75">
      <c r="S1250" s="140"/>
      <c r="T1250" s="47" t="s">
        <v>2785</v>
      </c>
      <c r="U1250" s="47" t="s">
        <v>4006</v>
      </c>
      <c r="V1250" s="141">
        <v>255367</v>
      </c>
      <c r="W1250" s="139"/>
    </row>
    <row r="1251" spans="19:23" ht="12.75">
      <c r="S1251" s="140"/>
      <c r="T1251" s="47" t="s">
        <v>2782</v>
      </c>
      <c r="U1251" s="47" t="s">
        <v>4003</v>
      </c>
      <c r="V1251" s="141">
        <v>262584</v>
      </c>
      <c r="W1251" s="139"/>
    </row>
    <row r="1252" spans="19:23" ht="12.75">
      <c r="S1252" s="140"/>
      <c r="T1252" s="47" t="s">
        <v>2025</v>
      </c>
      <c r="U1252" s="47" t="s">
        <v>4012</v>
      </c>
      <c r="V1252" s="141">
        <v>279576</v>
      </c>
      <c r="W1252" s="139"/>
    </row>
    <row r="1253" spans="19:23" ht="12.75">
      <c r="S1253" s="140"/>
      <c r="T1253" s="47" t="s">
        <v>2788</v>
      </c>
      <c r="U1253" s="47" t="s">
        <v>4009</v>
      </c>
      <c r="V1253" s="141">
        <v>286794</v>
      </c>
      <c r="W1253" s="139"/>
    </row>
    <row r="1254" spans="19:23" ht="12.75">
      <c r="S1254" s="140"/>
      <c r="T1254" s="47" t="s">
        <v>1890</v>
      </c>
      <c r="U1254" s="47" t="s">
        <v>1891</v>
      </c>
      <c r="V1254" s="141">
        <v>376774</v>
      </c>
      <c r="W1254" s="139"/>
    </row>
    <row r="1255" spans="19:23" ht="12.75">
      <c r="S1255" s="140"/>
      <c r="T1255" s="47" t="s">
        <v>2780</v>
      </c>
      <c r="U1255" s="47" t="s">
        <v>4001</v>
      </c>
      <c r="V1255" s="141">
        <v>269987</v>
      </c>
      <c r="W1255" s="139"/>
    </row>
    <row r="1256" spans="19:23" ht="12.75">
      <c r="S1256" s="140"/>
      <c r="T1256" s="47" t="s">
        <v>2786</v>
      </c>
      <c r="U1256" s="47" t="s">
        <v>4007</v>
      </c>
      <c r="V1256" s="141">
        <v>275617</v>
      </c>
      <c r="W1256" s="139"/>
    </row>
    <row r="1257" spans="19:23" ht="12.75">
      <c r="S1257" s="140"/>
      <c r="T1257" s="47" t="s">
        <v>2783</v>
      </c>
      <c r="U1257" s="47" t="s">
        <v>4004</v>
      </c>
      <c r="V1257" s="141">
        <v>282835</v>
      </c>
      <c r="W1257" s="139"/>
    </row>
    <row r="1258" spans="19:23" ht="12.75">
      <c r="S1258" s="140"/>
      <c r="T1258" s="47" t="s">
        <v>2026</v>
      </c>
      <c r="U1258" s="47" t="s">
        <v>4013</v>
      </c>
      <c r="V1258" s="141">
        <v>299826</v>
      </c>
      <c r="W1258" s="139"/>
    </row>
    <row r="1259" spans="19:23" ht="12.75">
      <c r="S1259" s="140"/>
      <c r="T1259" s="47" t="s">
        <v>2023</v>
      </c>
      <c r="U1259" s="47" t="s">
        <v>4010</v>
      </c>
      <c r="V1259" s="141">
        <v>307043</v>
      </c>
      <c r="W1259" s="139"/>
    </row>
    <row r="1260" spans="19:23" ht="12.75">
      <c r="S1260" s="140"/>
      <c r="T1260" s="47" t="s">
        <v>2778</v>
      </c>
      <c r="U1260" s="47" t="s">
        <v>3999</v>
      </c>
      <c r="V1260" s="141">
        <v>274559</v>
      </c>
      <c r="W1260" s="139"/>
    </row>
    <row r="1261" spans="19:23" ht="12.75">
      <c r="S1261" s="140"/>
      <c r="T1261" s="47" t="s">
        <v>2784</v>
      </c>
      <c r="U1261" s="47" t="s">
        <v>4005</v>
      </c>
      <c r="V1261" s="141">
        <v>280188</v>
      </c>
      <c r="W1261" s="139"/>
    </row>
    <row r="1262" spans="19:23" ht="12.75">
      <c r="S1262" s="140"/>
      <c r="T1262" s="47" t="s">
        <v>2781</v>
      </c>
      <c r="U1262" s="47" t="s">
        <v>4002</v>
      </c>
      <c r="V1262" s="141">
        <v>287407</v>
      </c>
      <c r="W1262" s="139"/>
    </row>
    <row r="1263" spans="19:23" ht="12.75">
      <c r="S1263" s="140"/>
      <c r="T1263" s="47" t="s">
        <v>2024</v>
      </c>
      <c r="U1263" s="47" t="s">
        <v>4011</v>
      </c>
      <c r="V1263" s="141">
        <v>304397</v>
      </c>
      <c r="W1263" s="139"/>
    </row>
    <row r="1264" spans="19:23" ht="12.75">
      <c r="S1264" s="140"/>
      <c r="T1264" s="47" t="s">
        <v>2787</v>
      </c>
      <c r="U1264" s="47" t="s">
        <v>4008</v>
      </c>
      <c r="V1264" s="141">
        <v>311616</v>
      </c>
      <c r="W1264" s="139"/>
    </row>
    <row r="1265" spans="19:23" ht="12.75">
      <c r="S1265" s="140"/>
      <c r="T1265" s="47" t="s">
        <v>2028</v>
      </c>
      <c r="U1265" s="47" t="s">
        <v>4015</v>
      </c>
      <c r="V1265" s="141">
        <v>207024</v>
      </c>
      <c r="W1265" s="139"/>
    </row>
    <row r="1266" spans="19:23" ht="12.75">
      <c r="S1266" s="140"/>
      <c r="T1266" s="47" t="s">
        <v>2034</v>
      </c>
      <c r="U1266" s="47" t="s">
        <v>4021</v>
      </c>
      <c r="V1266" s="141">
        <v>212655</v>
      </c>
      <c r="W1266" s="139"/>
    </row>
    <row r="1267" spans="19:23" ht="12.75">
      <c r="S1267" s="140"/>
      <c r="T1267" s="47" t="s">
        <v>2031</v>
      </c>
      <c r="U1267" s="47" t="s">
        <v>4018</v>
      </c>
      <c r="V1267" s="141">
        <v>219872</v>
      </c>
      <c r="W1267" s="139"/>
    </row>
    <row r="1268" spans="19:23" ht="12.75">
      <c r="S1268" s="140"/>
      <c r="T1268" s="47" t="s">
        <v>2586</v>
      </c>
      <c r="U1268" s="47" t="s">
        <v>4027</v>
      </c>
      <c r="V1268" s="141">
        <v>236863</v>
      </c>
      <c r="W1268" s="139"/>
    </row>
    <row r="1269" spans="19:23" ht="12.75">
      <c r="S1269" s="140"/>
      <c r="T1269" s="47" t="s">
        <v>2583</v>
      </c>
      <c r="U1269" s="47" t="s">
        <v>4024</v>
      </c>
      <c r="V1269" s="141">
        <v>244083</v>
      </c>
      <c r="W1269" s="139"/>
    </row>
    <row r="1270" spans="19:23" ht="12.75">
      <c r="S1270" s="140"/>
      <c r="T1270" s="47" t="s">
        <v>1892</v>
      </c>
      <c r="U1270" s="47" t="s">
        <v>1893</v>
      </c>
      <c r="V1270" s="141">
        <v>334063</v>
      </c>
      <c r="W1270" s="139"/>
    </row>
    <row r="1271" spans="19:23" ht="12.75">
      <c r="S1271" s="140"/>
      <c r="T1271" s="47" t="s">
        <v>2029</v>
      </c>
      <c r="U1271" s="47" t="s">
        <v>4016</v>
      </c>
      <c r="V1271" s="141">
        <v>227274</v>
      </c>
      <c r="W1271" s="337"/>
    </row>
    <row r="1272" spans="19:23" ht="12.75">
      <c r="S1272" s="140"/>
      <c r="T1272" s="47" t="s">
        <v>2581</v>
      </c>
      <c r="U1272" s="47" t="s">
        <v>4022</v>
      </c>
      <c r="V1272" s="141">
        <v>232904</v>
      </c>
      <c r="W1272" s="337"/>
    </row>
    <row r="1273" spans="19:23" ht="12.75">
      <c r="S1273" s="140"/>
      <c r="T1273" s="47" t="s">
        <v>2032</v>
      </c>
      <c r="U1273" s="47" t="s">
        <v>4019</v>
      </c>
      <c r="V1273" s="141">
        <v>240123</v>
      </c>
      <c r="W1273" s="337"/>
    </row>
    <row r="1274" spans="19:23" ht="12.75">
      <c r="S1274" s="140"/>
      <c r="T1274" s="47" t="s">
        <v>2587</v>
      </c>
      <c r="U1274" s="47" t="s">
        <v>4028</v>
      </c>
      <c r="V1274" s="141">
        <v>257113</v>
      </c>
      <c r="W1274" s="337"/>
    </row>
    <row r="1275" spans="19:23" ht="12.75">
      <c r="S1275" s="140"/>
      <c r="T1275" s="47" t="s">
        <v>2584</v>
      </c>
      <c r="U1275" s="47" t="s">
        <v>4025</v>
      </c>
      <c r="V1275" s="141">
        <v>264331</v>
      </c>
      <c r="W1275" s="337"/>
    </row>
    <row r="1276" spans="19:23" ht="12.75">
      <c r="S1276" s="140"/>
      <c r="T1276" s="47" t="s">
        <v>2027</v>
      </c>
      <c r="U1276" s="47" t="s">
        <v>4014</v>
      </c>
      <c r="V1276" s="141">
        <v>231847</v>
      </c>
      <c r="W1276" s="337"/>
    </row>
    <row r="1277" spans="19:23" ht="12.75">
      <c r="S1277" s="140"/>
      <c r="T1277" s="47" t="s">
        <v>2033</v>
      </c>
      <c r="U1277" s="47" t="s">
        <v>4020</v>
      </c>
      <c r="V1277" s="141">
        <v>237475</v>
      </c>
      <c r="W1277" s="337"/>
    </row>
    <row r="1278" spans="19:23" ht="12.75">
      <c r="S1278" s="140"/>
      <c r="T1278" s="47" t="s">
        <v>2030</v>
      </c>
      <c r="U1278" s="47" t="s">
        <v>4017</v>
      </c>
      <c r="V1278" s="141">
        <v>244695</v>
      </c>
      <c r="W1278" s="337"/>
    </row>
    <row r="1279" spans="19:23" ht="12.75">
      <c r="S1279" s="140"/>
      <c r="T1279" s="47" t="s">
        <v>2585</v>
      </c>
      <c r="U1279" s="47" t="s">
        <v>4026</v>
      </c>
      <c r="V1279" s="141">
        <v>261686</v>
      </c>
      <c r="W1279" s="337"/>
    </row>
    <row r="1280" spans="19:23" ht="12.75">
      <c r="S1280" s="140"/>
      <c r="T1280" s="47" t="s">
        <v>2582</v>
      </c>
      <c r="U1280" s="47" t="s">
        <v>4023</v>
      </c>
      <c r="V1280" s="141">
        <v>268903</v>
      </c>
      <c r="W1280" s="337"/>
    </row>
    <row r="1281" spans="19:23" ht="12.75">
      <c r="S1281" s="140"/>
      <c r="T1281" s="47" t="s">
        <v>2589</v>
      </c>
      <c r="U1281" s="47" t="s">
        <v>4030</v>
      </c>
      <c r="V1281" s="141">
        <v>279791</v>
      </c>
      <c r="W1281" s="337"/>
    </row>
    <row r="1282" spans="19:23" ht="12.75">
      <c r="S1282" s="140"/>
      <c r="T1282" s="47" t="s">
        <v>2595</v>
      </c>
      <c r="U1282" s="47" t="s">
        <v>4036</v>
      </c>
      <c r="V1282" s="141">
        <v>285420</v>
      </c>
      <c r="W1282" s="337"/>
    </row>
    <row r="1283" spans="19:23" ht="12.75">
      <c r="S1283" s="140"/>
      <c r="T1283" s="47" t="s">
        <v>2592</v>
      </c>
      <c r="U1283" s="47" t="s">
        <v>4033</v>
      </c>
      <c r="V1283" s="141">
        <v>292638</v>
      </c>
      <c r="W1283" s="337"/>
    </row>
    <row r="1284" spans="19:23" ht="12.75">
      <c r="S1284" s="140"/>
      <c r="T1284" s="47" t="s">
        <v>2601</v>
      </c>
      <c r="U1284" s="47" t="s">
        <v>4042</v>
      </c>
      <c r="V1284" s="141">
        <v>309631</v>
      </c>
      <c r="W1284" s="337"/>
    </row>
    <row r="1285" spans="19:23" ht="12.75">
      <c r="S1285" s="140"/>
      <c r="T1285" s="47" t="s">
        <v>2598</v>
      </c>
      <c r="U1285" s="47" t="s">
        <v>4039</v>
      </c>
      <c r="V1285" s="141">
        <v>316847</v>
      </c>
      <c r="W1285" s="337"/>
    </row>
    <row r="1286" spans="19:23" ht="12.75">
      <c r="S1286" s="140"/>
      <c r="T1286" s="47" t="s">
        <v>1894</v>
      </c>
      <c r="U1286" s="47" t="s">
        <v>1895</v>
      </c>
      <c r="V1286" s="141">
        <v>406826</v>
      </c>
      <c r="W1286" s="139"/>
    </row>
    <row r="1287" spans="19:23" ht="12.75">
      <c r="S1287" s="140"/>
      <c r="T1287" s="47" t="s">
        <v>2590</v>
      </c>
      <c r="U1287" s="47" t="s">
        <v>4031</v>
      </c>
      <c r="V1287" s="141">
        <v>300040</v>
      </c>
      <c r="W1287" s="337"/>
    </row>
    <row r="1288" spans="19:23" ht="12.75">
      <c r="S1288" s="140"/>
      <c r="T1288" s="47" t="s">
        <v>2596</v>
      </c>
      <c r="U1288" s="47" t="s">
        <v>4037</v>
      </c>
      <c r="V1288" s="141">
        <v>305671</v>
      </c>
      <c r="W1288" s="337"/>
    </row>
    <row r="1289" spans="19:23" ht="12.75">
      <c r="S1289" s="140"/>
      <c r="T1289" s="47" t="s">
        <v>2593</v>
      </c>
      <c r="U1289" s="47" t="s">
        <v>4034</v>
      </c>
      <c r="V1289" s="141">
        <v>312886</v>
      </c>
      <c r="W1289" s="337"/>
    </row>
    <row r="1290" spans="19:23" ht="12.75">
      <c r="S1290" s="140"/>
      <c r="T1290" s="47" t="s">
        <v>2602</v>
      </c>
      <c r="U1290" s="47" t="s">
        <v>4043</v>
      </c>
      <c r="V1290" s="141">
        <v>329880</v>
      </c>
      <c r="W1290" s="337"/>
    </row>
    <row r="1291" spans="19:23" ht="12.75">
      <c r="S1291" s="140"/>
      <c r="T1291" s="47" t="s">
        <v>2599</v>
      </c>
      <c r="U1291" s="47" t="s">
        <v>4040</v>
      </c>
      <c r="V1291" s="141">
        <v>337095</v>
      </c>
      <c r="W1291" s="337"/>
    </row>
    <row r="1292" spans="19:23" ht="12.75">
      <c r="S1292" s="140"/>
      <c r="T1292" s="47" t="s">
        <v>2588</v>
      </c>
      <c r="U1292" s="47" t="s">
        <v>4029</v>
      </c>
      <c r="V1292" s="141">
        <v>304612</v>
      </c>
      <c r="W1292" s="337"/>
    </row>
    <row r="1293" spans="19:23" ht="12.75">
      <c r="S1293" s="140"/>
      <c r="T1293" s="47" t="s">
        <v>2594</v>
      </c>
      <c r="U1293" s="47" t="s">
        <v>4035</v>
      </c>
      <c r="V1293" s="141">
        <v>310243</v>
      </c>
      <c r="W1293" s="337"/>
    </row>
    <row r="1294" spans="19:23" ht="12.75">
      <c r="S1294" s="140"/>
      <c r="T1294" s="47" t="s">
        <v>2591</v>
      </c>
      <c r="U1294" s="47" t="s">
        <v>4032</v>
      </c>
      <c r="V1294" s="141">
        <v>317460</v>
      </c>
      <c r="W1294" s="337"/>
    </row>
    <row r="1295" spans="19:23" ht="12.75">
      <c r="S1295" s="140"/>
      <c r="T1295" s="47" t="s">
        <v>2600</v>
      </c>
      <c r="U1295" s="47" t="s">
        <v>4041</v>
      </c>
      <c r="V1295" s="141">
        <v>334452</v>
      </c>
      <c r="W1295" s="337"/>
    </row>
    <row r="1296" spans="19:23" ht="12.75">
      <c r="S1296" s="140"/>
      <c r="T1296" s="47" t="s">
        <v>2597</v>
      </c>
      <c r="U1296" s="47" t="s">
        <v>4038</v>
      </c>
      <c r="V1296" s="141">
        <v>341669</v>
      </c>
      <c r="W1296" s="337"/>
    </row>
    <row r="1297" spans="19:23" ht="12.75">
      <c r="S1297" s="140"/>
      <c r="T1297" s="47" t="s">
        <v>2604</v>
      </c>
      <c r="U1297" s="47" t="s">
        <v>4045</v>
      </c>
      <c r="V1297" s="141">
        <v>287916</v>
      </c>
      <c r="W1297" s="139"/>
    </row>
    <row r="1298" spans="19:23" ht="12.75">
      <c r="S1298" s="140"/>
      <c r="T1298" s="47" t="s">
        <v>2610</v>
      </c>
      <c r="U1298" s="47" t="s">
        <v>2790</v>
      </c>
      <c r="V1298" s="141">
        <v>293546</v>
      </c>
      <c r="W1298" s="139"/>
    </row>
    <row r="1299" spans="19:23" ht="12.75">
      <c r="S1299" s="140"/>
      <c r="T1299" s="47" t="s">
        <v>2607</v>
      </c>
      <c r="U1299" s="47" t="s">
        <v>1417</v>
      </c>
      <c r="V1299" s="141">
        <v>300762</v>
      </c>
      <c r="W1299" s="139"/>
    </row>
    <row r="1300" spans="19:23" ht="12.75">
      <c r="S1300" s="140"/>
      <c r="T1300" s="47" t="s">
        <v>2616</v>
      </c>
      <c r="U1300" s="47" t="s">
        <v>4668</v>
      </c>
      <c r="V1300" s="141">
        <v>317754</v>
      </c>
      <c r="W1300" s="139"/>
    </row>
    <row r="1301" spans="19:23" ht="12.75">
      <c r="S1301" s="140"/>
      <c r="T1301" s="47" t="s">
        <v>2613</v>
      </c>
      <c r="U1301" s="47" t="s">
        <v>4665</v>
      </c>
      <c r="V1301" s="141">
        <v>324971</v>
      </c>
      <c r="W1301" s="139"/>
    </row>
    <row r="1302" spans="19:23" ht="12.75">
      <c r="S1302" s="140"/>
      <c r="T1302" s="47" t="s">
        <v>1896</v>
      </c>
      <c r="U1302" s="47" t="s">
        <v>1897</v>
      </c>
      <c r="V1302" s="141">
        <v>414951</v>
      </c>
      <c r="W1302" s="139"/>
    </row>
    <row r="1303" spans="19:23" ht="12.75">
      <c r="S1303" s="140"/>
      <c r="T1303" s="47" t="s">
        <v>2605</v>
      </c>
      <c r="U1303" s="47" t="s">
        <v>4046</v>
      </c>
      <c r="V1303" s="141">
        <v>308165</v>
      </c>
      <c r="W1303" s="139"/>
    </row>
    <row r="1304" spans="19:23" ht="12.75">
      <c r="S1304" s="140"/>
      <c r="T1304" s="47" t="s">
        <v>2611</v>
      </c>
      <c r="U1304" s="47" t="s">
        <v>2791</v>
      </c>
      <c r="V1304" s="141">
        <v>313795</v>
      </c>
      <c r="W1304" s="139"/>
    </row>
    <row r="1305" spans="19:23" ht="12.75">
      <c r="S1305" s="140"/>
      <c r="T1305" s="47" t="s">
        <v>2608</v>
      </c>
      <c r="U1305" s="47" t="s">
        <v>1418</v>
      </c>
      <c r="V1305" s="141">
        <v>321013</v>
      </c>
      <c r="W1305" s="139"/>
    </row>
    <row r="1306" spans="19:23" ht="12.75">
      <c r="S1306" s="140"/>
      <c r="T1306" s="47" t="s">
        <v>2617</v>
      </c>
      <c r="U1306" s="47" t="s">
        <v>4669</v>
      </c>
      <c r="V1306" s="141">
        <v>338004</v>
      </c>
      <c r="W1306" s="139"/>
    </row>
    <row r="1307" spans="19:23" ht="12.75">
      <c r="S1307" s="140"/>
      <c r="T1307" s="47" t="s">
        <v>2614</v>
      </c>
      <c r="U1307" s="47" t="s">
        <v>4666</v>
      </c>
      <c r="V1307" s="141">
        <v>345221</v>
      </c>
      <c r="W1307" s="139"/>
    </row>
    <row r="1308" spans="19:23" ht="12.75">
      <c r="S1308" s="140"/>
      <c r="T1308" s="47" t="s">
        <v>2603</v>
      </c>
      <c r="U1308" s="47" t="s">
        <v>4044</v>
      </c>
      <c r="V1308" s="141">
        <v>312736</v>
      </c>
      <c r="W1308" s="139"/>
    </row>
    <row r="1309" spans="19:23" ht="12.75">
      <c r="S1309" s="140"/>
      <c r="T1309" s="47" t="s">
        <v>2609</v>
      </c>
      <c r="U1309" s="47" t="s">
        <v>2789</v>
      </c>
      <c r="V1309" s="141">
        <v>318366</v>
      </c>
      <c r="W1309" s="139"/>
    </row>
    <row r="1310" spans="19:23" ht="12.75">
      <c r="S1310" s="140"/>
      <c r="T1310" s="47" t="s">
        <v>2606</v>
      </c>
      <c r="U1310" s="47" t="s">
        <v>4047</v>
      </c>
      <c r="V1310" s="141">
        <v>325585</v>
      </c>
      <c r="W1310" s="139"/>
    </row>
    <row r="1311" spans="19:23" ht="12.75">
      <c r="S1311" s="140"/>
      <c r="T1311" s="47" t="s">
        <v>2615</v>
      </c>
      <c r="U1311" s="47" t="s">
        <v>4667</v>
      </c>
      <c r="V1311" s="141">
        <v>342576</v>
      </c>
      <c r="W1311" s="139"/>
    </row>
    <row r="1312" spans="19:23" ht="12.75">
      <c r="S1312" s="140"/>
      <c r="T1312" s="47" t="s">
        <v>2612</v>
      </c>
      <c r="U1312" s="47" t="s">
        <v>4664</v>
      </c>
      <c r="V1312" s="141">
        <v>349794</v>
      </c>
      <c r="W1312" s="139"/>
    </row>
    <row r="1313" spans="19:23" ht="12.75">
      <c r="S1313" s="140"/>
      <c r="T1313" s="47" t="s">
        <v>2618</v>
      </c>
      <c r="U1313" s="47" t="s">
        <v>4670</v>
      </c>
      <c r="V1313" s="141">
        <v>128726</v>
      </c>
      <c r="W1313" s="337"/>
    </row>
    <row r="1314" spans="19:23" ht="12.75">
      <c r="S1314" s="140"/>
      <c r="T1314" s="47" t="s">
        <v>2960</v>
      </c>
      <c r="U1314" s="47" t="s">
        <v>4672</v>
      </c>
      <c r="V1314" s="141">
        <v>134355</v>
      </c>
      <c r="W1314" s="337"/>
    </row>
    <row r="1315" spans="19:23" ht="12.75">
      <c r="S1315" s="140"/>
      <c r="T1315" s="47" t="s">
        <v>2959</v>
      </c>
      <c r="U1315" s="47" t="s">
        <v>4671</v>
      </c>
      <c r="V1315" s="141">
        <v>141574</v>
      </c>
      <c r="W1315" s="337"/>
    </row>
    <row r="1316" spans="19:23" ht="12.75">
      <c r="S1316" s="140"/>
      <c r="T1316" s="47" t="s">
        <v>2962</v>
      </c>
      <c r="U1316" s="47" t="s">
        <v>4674</v>
      </c>
      <c r="V1316" s="141">
        <v>158565</v>
      </c>
      <c r="W1316" s="337"/>
    </row>
    <row r="1317" spans="19:23" ht="12.75">
      <c r="S1317" s="140"/>
      <c r="T1317" s="47" t="s">
        <v>2961</v>
      </c>
      <c r="U1317" s="47" t="s">
        <v>4673</v>
      </c>
      <c r="V1317" s="141">
        <v>165782</v>
      </c>
      <c r="W1317" s="337"/>
    </row>
    <row r="1318" spans="19:23" ht="12.75">
      <c r="S1318" s="140"/>
      <c r="T1318" s="47" t="s">
        <v>1898</v>
      </c>
      <c r="U1318" s="47" t="s">
        <v>1899</v>
      </c>
      <c r="V1318" s="141">
        <v>255762</v>
      </c>
      <c r="W1318" s="139"/>
    </row>
    <row r="1319" spans="19:23" ht="12.75">
      <c r="S1319" s="140"/>
      <c r="T1319" s="47" t="s">
        <v>2963</v>
      </c>
      <c r="U1319" s="47" t="s">
        <v>4675</v>
      </c>
      <c r="V1319" s="141">
        <v>135577</v>
      </c>
      <c r="W1319" s="339"/>
    </row>
    <row r="1320" spans="19:23" ht="12.75">
      <c r="S1320" s="140"/>
      <c r="T1320" s="47" t="s">
        <v>2965</v>
      </c>
      <c r="U1320" s="47" t="s">
        <v>4677</v>
      </c>
      <c r="V1320" s="141">
        <v>141209</v>
      </c>
      <c r="W1320" s="339"/>
    </row>
    <row r="1321" spans="19:23" ht="12.75">
      <c r="S1321" s="140"/>
      <c r="T1321" s="47" t="s">
        <v>2964</v>
      </c>
      <c r="U1321" s="47" t="s">
        <v>4676</v>
      </c>
      <c r="V1321" s="141">
        <v>148425</v>
      </c>
      <c r="W1321" s="339"/>
    </row>
    <row r="1322" spans="19:23" ht="12.75">
      <c r="S1322" s="140"/>
      <c r="T1322" s="47" t="s">
        <v>2967</v>
      </c>
      <c r="U1322" s="47" t="s">
        <v>4679</v>
      </c>
      <c r="V1322" s="141">
        <v>165418</v>
      </c>
      <c r="W1322" s="339"/>
    </row>
    <row r="1323" spans="19:23" ht="12.75">
      <c r="S1323" s="140"/>
      <c r="T1323" s="47" t="s">
        <v>2966</v>
      </c>
      <c r="U1323" s="47" t="s">
        <v>4678</v>
      </c>
      <c r="V1323" s="141">
        <v>172635</v>
      </c>
      <c r="W1323" s="339"/>
    </row>
    <row r="1324" spans="19:23" ht="12.75">
      <c r="S1324" s="140"/>
      <c r="T1324" s="47" t="s">
        <v>1900</v>
      </c>
      <c r="U1324" s="47" t="s">
        <v>1901</v>
      </c>
      <c r="V1324" s="141">
        <v>262614</v>
      </c>
      <c r="W1324" s="139"/>
    </row>
    <row r="1325" spans="19:23" ht="12.75">
      <c r="S1325" s="140"/>
      <c r="T1325" s="47" t="s">
        <v>2968</v>
      </c>
      <c r="U1325" s="47" t="s">
        <v>4680</v>
      </c>
      <c r="V1325" s="141">
        <v>161638</v>
      </c>
      <c r="W1325" s="337"/>
    </row>
    <row r="1326" spans="19:23" ht="12.75">
      <c r="S1326" s="140"/>
      <c r="T1326" s="47" t="s">
        <v>2970</v>
      </c>
      <c r="U1326" s="47" t="s">
        <v>4049</v>
      </c>
      <c r="V1326" s="141">
        <v>167270</v>
      </c>
      <c r="W1326" s="337"/>
    </row>
    <row r="1327" spans="18:23" ht="12.75">
      <c r="R1327" s="47" t="s">
        <v>2153</v>
      </c>
      <c r="S1327" s="140"/>
      <c r="T1327" s="47" t="s">
        <v>2969</v>
      </c>
      <c r="U1327" s="47" t="s">
        <v>4048</v>
      </c>
      <c r="V1327" s="141">
        <v>174486</v>
      </c>
      <c r="W1327" s="337"/>
    </row>
    <row r="1328" spans="19:23" ht="12.75">
      <c r="S1328" s="140"/>
      <c r="T1328" s="47" t="s">
        <v>2972</v>
      </c>
      <c r="U1328" s="47" t="s">
        <v>4051</v>
      </c>
      <c r="V1328" s="141">
        <v>191477</v>
      </c>
      <c r="W1328" s="337"/>
    </row>
    <row r="1329" spans="19:23" ht="12.75">
      <c r="S1329" s="140"/>
      <c r="T1329" s="47" t="s">
        <v>2971</v>
      </c>
      <c r="U1329" s="47" t="s">
        <v>4050</v>
      </c>
      <c r="V1329" s="141">
        <v>198695</v>
      </c>
      <c r="W1329" s="337"/>
    </row>
    <row r="1330" spans="19:23" ht="12.75">
      <c r="S1330" s="140"/>
      <c r="T1330" s="47" t="s">
        <v>1902</v>
      </c>
      <c r="U1330" s="47" t="s">
        <v>1903</v>
      </c>
      <c r="V1330" s="141">
        <v>288674</v>
      </c>
      <c r="W1330" s="139"/>
    </row>
    <row r="1331" spans="19:23" ht="12.75">
      <c r="S1331" s="140"/>
      <c r="T1331" s="47" t="s">
        <v>2973</v>
      </c>
      <c r="U1331" s="47" t="s">
        <v>4052</v>
      </c>
      <c r="V1331" s="141">
        <v>169007</v>
      </c>
      <c r="W1331" s="139"/>
    </row>
    <row r="1332" spans="19:23" ht="12.75">
      <c r="S1332" s="140"/>
      <c r="T1332" s="47" t="s">
        <v>2975</v>
      </c>
      <c r="U1332" s="47" t="s">
        <v>4054</v>
      </c>
      <c r="V1332" s="141">
        <v>174637</v>
      </c>
      <c r="W1332" s="139"/>
    </row>
    <row r="1333" spans="19:23" ht="12.75">
      <c r="S1333" s="140"/>
      <c r="T1333" s="47" t="s">
        <v>2974</v>
      </c>
      <c r="U1333" s="47" t="s">
        <v>4053</v>
      </c>
      <c r="V1333" s="141">
        <v>181855</v>
      </c>
      <c r="W1333" s="139"/>
    </row>
    <row r="1334" spans="19:23" ht="12.75">
      <c r="S1334" s="140"/>
      <c r="T1334" s="47" t="s">
        <v>2977</v>
      </c>
      <c r="U1334" s="47" t="s">
        <v>1609</v>
      </c>
      <c r="V1334" s="141">
        <v>198847</v>
      </c>
      <c r="W1334" s="139"/>
    </row>
    <row r="1335" spans="19:23" ht="12.75">
      <c r="S1335" s="140"/>
      <c r="T1335" s="47" t="s">
        <v>2976</v>
      </c>
      <c r="U1335" s="47" t="s">
        <v>1608</v>
      </c>
      <c r="V1335" s="141">
        <v>206063</v>
      </c>
      <c r="W1335" s="139"/>
    </row>
    <row r="1336" spans="19:23" ht="12.75">
      <c r="S1336" s="140"/>
      <c r="T1336" s="47" t="s">
        <v>1904</v>
      </c>
      <c r="U1336" s="47" t="s">
        <v>1905</v>
      </c>
      <c r="V1336" s="141">
        <v>296042</v>
      </c>
      <c r="W1336" s="139"/>
    </row>
    <row r="1337" spans="19:23" ht="12.75">
      <c r="S1337" s="140"/>
      <c r="T1337" s="47" t="s">
        <v>2978</v>
      </c>
      <c r="U1337" s="47" t="s">
        <v>1330</v>
      </c>
      <c r="V1337" s="141">
        <v>193468</v>
      </c>
      <c r="W1337" s="337"/>
    </row>
    <row r="1338" spans="19:23" ht="12.75">
      <c r="S1338" s="140"/>
      <c r="T1338" s="47" t="s">
        <v>2980</v>
      </c>
      <c r="U1338" s="47" t="s">
        <v>5029</v>
      </c>
      <c r="V1338" s="141">
        <v>199099</v>
      </c>
      <c r="W1338" s="337"/>
    </row>
    <row r="1339" spans="19:23" ht="12.75">
      <c r="S1339" s="140"/>
      <c r="T1339" s="47" t="s">
        <v>2979</v>
      </c>
      <c r="U1339" s="47" t="s">
        <v>5028</v>
      </c>
      <c r="V1339" s="141">
        <v>206315</v>
      </c>
      <c r="W1339" s="337"/>
    </row>
    <row r="1340" spans="19:23" ht="12.75">
      <c r="S1340" s="140"/>
      <c r="T1340" s="47" t="s">
        <v>2627</v>
      </c>
      <c r="U1340" s="47" t="s">
        <v>5031</v>
      </c>
      <c r="V1340" s="141">
        <v>223308</v>
      </c>
      <c r="W1340" s="337"/>
    </row>
    <row r="1341" spans="19:23" ht="12.75">
      <c r="S1341" s="140"/>
      <c r="T1341" s="47" t="s">
        <v>2981</v>
      </c>
      <c r="U1341" s="47" t="s">
        <v>5030</v>
      </c>
      <c r="V1341" s="141">
        <v>230525</v>
      </c>
      <c r="W1341" s="337"/>
    </row>
    <row r="1342" spans="19:23" ht="12.75">
      <c r="S1342" s="140"/>
      <c r="T1342" s="47" t="s">
        <v>1906</v>
      </c>
      <c r="U1342" s="47" t="s">
        <v>1907</v>
      </c>
      <c r="V1342" s="141">
        <v>320504</v>
      </c>
      <c r="W1342" s="139"/>
    </row>
    <row r="1343" spans="19:23" ht="12.75">
      <c r="S1343" s="140"/>
      <c r="T1343" s="47" t="s">
        <v>2628</v>
      </c>
      <c r="U1343" s="47" t="s">
        <v>2756</v>
      </c>
      <c r="V1343" s="141">
        <v>200635</v>
      </c>
      <c r="W1343" s="139"/>
    </row>
    <row r="1344" spans="19:23" ht="12.75">
      <c r="S1344" s="140"/>
      <c r="T1344" s="47" t="s">
        <v>2630</v>
      </c>
      <c r="U1344" s="47" t="s">
        <v>2758</v>
      </c>
      <c r="V1344" s="141">
        <v>206265</v>
      </c>
      <c r="W1344" s="139"/>
    </row>
    <row r="1345" spans="19:23" ht="12.75">
      <c r="S1345" s="140"/>
      <c r="T1345" s="47" t="s">
        <v>2629</v>
      </c>
      <c r="U1345" s="47" t="s">
        <v>2757</v>
      </c>
      <c r="V1345" s="141">
        <v>213483</v>
      </c>
      <c r="W1345" s="139"/>
    </row>
    <row r="1346" spans="19:23" ht="12.75">
      <c r="S1346" s="140"/>
      <c r="T1346" s="47" t="s">
        <v>2632</v>
      </c>
      <c r="U1346" s="47" t="s">
        <v>2760</v>
      </c>
      <c r="V1346" s="141">
        <v>230475</v>
      </c>
      <c r="W1346" s="139"/>
    </row>
    <row r="1347" spans="19:23" ht="12.75">
      <c r="S1347" s="140"/>
      <c r="T1347" s="47" t="s">
        <v>2631</v>
      </c>
      <c r="U1347" s="47" t="s">
        <v>2759</v>
      </c>
      <c r="V1347" s="141">
        <v>237692</v>
      </c>
      <c r="W1347" s="139"/>
    </row>
    <row r="1348" spans="19:23" ht="12.75">
      <c r="S1348" s="140"/>
      <c r="T1348" s="47" t="s">
        <v>1908</v>
      </c>
      <c r="U1348" s="47" t="s">
        <v>1909</v>
      </c>
      <c r="V1348" s="141">
        <v>327671</v>
      </c>
      <c r="W1348" s="139"/>
    </row>
    <row r="1349" spans="19:23" ht="12.75">
      <c r="S1349" s="140"/>
      <c r="T1349" s="47" t="s">
        <v>2633</v>
      </c>
      <c r="U1349" s="47" t="s">
        <v>2761</v>
      </c>
      <c r="V1349" s="141">
        <v>227262</v>
      </c>
      <c r="W1349" s="139"/>
    </row>
    <row r="1350" spans="19:23" ht="12.75">
      <c r="S1350" s="140"/>
      <c r="T1350" s="47" t="s">
        <v>2635</v>
      </c>
      <c r="U1350" s="47" t="s">
        <v>2763</v>
      </c>
      <c r="V1350" s="141">
        <v>232893</v>
      </c>
      <c r="W1350" s="139"/>
    </row>
    <row r="1351" spans="19:23" ht="12.75">
      <c r="S1351" s="140"/>
      <c r="T1351" s="47" t="s">
        <v>2634</v>
      </c>
      <c r="U1351" s="47" t="s">
        <v>2762</v>
      </c>
      <c r="V1351" s="141">
        <v>240111</v>
      </c>
      <c r="W1351" s="139"/>
    </row>
    <row r="1352" spans="19:23" ht="12.75">
      <c r="S1352" s="140"/>
      <c r="T1352" s="47" t="s">
        <v>2637</v>
      </c>
      <c r="U1352" s="47" t="s">
        <v>2765</v>
      </c>
      <c r="V1352" s="141">
        <v>257101</v>
      </c>
      <c r="W1352" s="139"/>
    </row>
    <row r="1353" spans="19:23" ht="12.75">
      <c r="S1353" s="140"/>
      <c r="T1353" s="47" t="s">
        <v>2636</v>
      </c>
      <c r="U1353" s="47" t="s">
        <v>2764</v>
      </c>
      <c r="V1353" s="141">
        <v>264320</v>
      </c>
      <c r="W1353" s="139"/>
    </row>
    <row r="1354" spans="19:23" ht="12.75">
      <c r="S1354" s="140"/>
      <c r="T1354" s="47" t="s">
        <v>1910</v>
      </c>
      <c r="U1354" s="47" t="s">
        <v>1911</v>
      </c>
      <c r="V1354" s="141">
        <v>354299</v>
      </c>
      <c r="W1354" s="139"/>
    </row>
    <row r="1355" spans="19:23" ht="12.75">
      <c r="S1355" s="140"/>
      <c r="T1355" s="47" t="s">
        <v>2638</v>
      </c>
      <c r="U1355" s="47" t="s">
        <v>2766</v>
      </c>
      <c r="V1355" s="141">
        <v>216063</v>
      </c>
      <c r="W1355" s="337"/>
    </row>
    <row r="1356" spans="19:23" ht="12.75">
      <c r="S1356" s="140"/>
      <c r="T1356" s="47" t="s">
        <v>2640</v>
      </c>
      <c r="U1356" s="47" t="s">
        <v>2817</v>
      </c>
      <c r="V1356" s="141">
        <v>221693</v>
      </c>
      <c r="W1356" s="337"/>
    </row>
    <row r="1357" spans="19:23" ht="12.75">
      <c r="S1357" s="140"/>
      <c r="T1357" s="47" t="s">
        <v>2639</v>
      </c>
      <c r="U1357" s="47" t="s">
        <v>2767</v>
      </c>
      <c r="V1357" s="141">
        <v>228909</v>
      </c>
      <c r="W1357" s="337"/>
    </row>
    <row r="1358" spans="19:23" ht="12.75">
      <c r="S1358" s="140"/>
      <c r="T1358" s="47" t="s">
        <v>2642</v>
      </c>
      <c r="U1358" s="47" t="s">
        <v>2819</v>
      </c>
      <c r="V1358" s="141">
        <v>245902</v>
      </c>
      <c r="W1358" s="337"/>
    </row>
    <row r="1359" spans="19:23" ht="12.75">
      <c r="S1359" s="140"/>
      <c r="T1359" s="47" t="s">
        <v>2641</v>
      </c>
      <c r="U1359" s="47" t="s">
        <v>2818</v>
      </c>
      <c r="V1359" s="141">
        <v>253120</v>
      </c>
      <c r="W1359" s="337"/>
    </row>
    <row r="1360" spans="19:23" ht="12.75">
      <c r="S1360" s="140"/>
      <c r="T1360" s="47" t="s">
        <v>1912</v>
      </c>
      <c r="U1360" s="47" t="s">
        <v>1913</v>
      </c>
      <c r="V1360" s="141">
        <v>343099</v>
      </c>
      <c r="W1360" s="139"/>
    </row>
    <row r="1361" spans="19:23" ht="12.75">
      <c r="S1361" s="140"/>
      <c r="T1361" s="47" t="s">
        <v>2643</v>
      </c>
      <c r="U1361" s="47" t="s">
        <v>2820</v>
      </c>
      <c r="V1361" s="141">
        <v>253412</v>
      </c>
      <c r="W1361" s="337"/>
    </row>
    <row r="1362" spans="19:23" ht="12.75">
      <c r="S1362" s="140"/>
      <c r="T1362" s="47" t="s">
        <v>2645</v>
      </c>
      <c r="U1362" s="47" t="s">
        <v>2822</v>
      </c>
      <c r="V1362" s="141">
        <v>259043</v>
      </c>
      <c r="W1362" s="337"/>
    </row>
    <row r="1363" spans="19:23" ht="12.75">
      <c r="S1363" s="140"/>
      <c r="T1363" s="47" t="s">
        <v>2644</v>
      </c>
      <c r="U1363" s="47" t="s">
        <v>2821</v>
      </c>
      <c r="V1363" s="141">
        <v>266259</v>
      </c>
      <c r="W1363" s="337"/>
    </row>
    <row r="1364" spans="19:23" ht="12.75">
      <c r="S1364" s="140"/>
      <c r="T1364" s="47" t="s">
        <v>2647</v>
      </c>
      <c r="U1364" s="47" t="s">
        <v>2824</v>
      </c>
      <c r="V1364" s="141">
        <v>283252</v>
      </c>
      <c r="W1364" s="337"/>
    </row>
    <row r="1365" spans="19:23" ht="12.75">
      <c r="S1365" s="140"/>
      <c r="T1365" s="47" t="s">
        <v>2646</v>
      </c>
      <c r="U1365" s="47" t="s">
        <v>2823</v>
      </c>
      <c r="V1365" s="141">
        <v>290469</v>
      </c>
      <c r="W1365" s="337"/>
    </row>
    <row r="1366" spans="19:23" ht="12.75">
      <c r="S1366" s="140"/>
      <c r="T1366" s="47" t="s">
        <v>1914</v>
      </c>
      <c r="U1366" s="47" t="s">
        <v>1915</v>
      </c>
      <c r="V1366" s="141">
        <v>380449</v>
      </c>
      <c r="W1366" s="139"/>
    </row>
    <row r="1367" spans="19:23" ht="12.75">
      <c r="S1367" s="140"/>
      <c r="T1367" s="47" t="s">
        <v>2648</v>
      </c>
      <c r="U1367" s="47" t="s">
        <v>2825</v>
      </c>
      <c r="V1367" s="141">
        <v>260579</v>
      </c>
      <c r="W1367" s="139"/>
    </row>
    <row r="1368" spans="19:23" ht="12.75">
      <c r="S1368" s="140"/>
      <c r="T1368" s="47" t="s">
        <v>2650</v>
      </c>
      <c r="U1368" s="47" t="s">
        <v>2827</v>
      </c>
      <c r="V1368" s="141">
        <v>266209</v>
      </c>
      <c r="W1368" s="139"/>
    </row>
    <row r="1369" spans="19:23" ht="12.75">
      <c r="S1369" s="140"/>
      <c r="T1369" s="47" t="s">
        <v>2649</v>
      </c>
      <c r="U1369" s="47" t="s">
        <v>2826</v>
      </c>
      <c r="V1369" s="141">
        <v>273426</v>
      </c>
      <c r="W1369" s="139"/>
    </row>
    <row r="1370" spans="19:23" ht="12.75">
      <c r="S1370" s="140"/>
      <c r="T1370" s="47" t="s">
        <v>2652</v>
      </c>
      <c r="U1370" s="47" t="s">
        <v>2829</v>
      </c>
      <c r="V1370" s="141">
        <v>290419</v>
      </c>
      <c r="W1370" s="139"/>
    </row>
    <row r="1371" spans="19:23" ht="12.75">
      <c r="S1371" s="140"/>
      <c r="T1371" s="47" t="s">
        <v>2651</v>
      </c>
      <c r="U1371" s="47" t="s">
        <v>2828</v>
      </c>
      <c r="V1371" s="141">
        <v>297635</v>
      </c>
      <c r="W1371" s="139"/>
    </row>
    <row r="1372" spans="19:23" ht="12.75">
      <c r="S1372" s="140"/>
      <c r="T1372" s="47" t="s">
        <v>1916</v>
      </c>
      <c r="U1372" s="47" t="s">
        <v>1917</v>
      </c>
      <c r="V1372" s="141">
        <v>387615</v>
      </c>
      <c r="W1372" s="139"/>
    </row>
    <row r="1373" spans="19:23" ht="12.75">
      <c r="S1373" s="140"/>
      <c r="T1373" s="47" t="s">
        <v>2653</v>
      </c>
      <c r="U1373" s="47" t="s">
        <v>3359</v>
      </c>
      <c r="V1373" s="141">
        <v>284334</v>
      </c>
      <c r="W1373" s="139"/>
    </row>
    <row r="1374" spans="19:23" ht="12.75">
      <c r="S1374" s="140"/>
      <c r="T1374" s="47" t="s">
        <v>2655</v>
      </c>
      <c r="U1374" s="47" t="s">
        <v>2804</v>
      </c>
      <c r="V1374" s="141">
        <v>289964</v>
      </c>
      <c r="W1374" s="139"/>
    </row>
    <row r="1375" spans="19:23" ht="12.75">
      <c r="S1375" s="140"/>
      <c r="T1375" s="47" t="s">
        <v>2654</v>
      </c>
      <c r="U1375" s="47" t="s">
        <v>2803</v>
      </c>
      <c r="V1375" s="141">
        <v>297183</v>
      </c>
      <c r="W1375" s="139"/>
    </row>
    <row r="1376" spans="19:23" ht="12.75">
      <c r="S1376" s="140"/>
      <c r="T1376" s="47" t="s">
        <v>2657</v>
      </c>
      <c r="U1376" s="47" t="s">
        <v>2806</v>
      </c>
      <c r="V1376" s="141">
        <v>314174</v>
      </c>
      <c r="W1376" s="139"/>
    </row>
    <row r="1377" spans="19:23" ht="12.75">
      <c r="S1377" s="140"/>
      <c r="T1377" s="47" t="s">
        <v>2656</v>
      </c>
      <c r="U1377" s="47" t="s">
        <v>2805</v>
      </c>
      <c r="V1377" s="141">
        <v>321391</v>
      </c>
      <c r="W1377" s="139"/>
    </row>
    <row r="1378" spans="19:23" ht="12.75">
      <c r="S1378" s="140"/>
      <c r="T1378" s="47" t="s">
        <v>1918</v>
      </c>
      <c r="U1378" s="47" t="s">
        <v>1919</v>
      </c>
      <c r="V1378" s="141">
        <v>411371</v>
      </c>
      <c r="W1378" s="139"/>
    </row>
    <row r="1379" spans="19:23" ht="12.75">
      <c r="S1379" s="140"/>
      <c r="T1379" s="47" t="s">
        <v>2658</v>
      </c>
      <c r="U1379" s="47" t="s">
        <v>4726</v>
      </c>
      <c r="V1379" s="141">
        <v>282558</v>
      </c>
      <c r="W1379" s="337"/>
    </row>
    <row r="1380" spans="19:23" ht="12.75">
      <c r="S1380" s="140"/>
      <c r="T1380" s="47" t="s">
        <v>2660</v>
      </c>
      <c r="U1380" s="47" t="s">
        <v>4728</v>
      </c>
      <c r="V1380" s="141">
        <v>288188</v>
      </c>
      <c r="W1380" s="337"/>
    </row>
    <row r="1381" spans="19:23" ht="12.75">
      <c r="S1381" s="140"/>
      <c r="T1381" s="47" t="s">
        <v>2659</v>
      </c>
      <c r="U1381" s="47" t="s">
        <v>4727</v>
      </c>
      <c r="V1381" s="141">
        <v>295405</v>
      </c>
      <c r="W1381" s="337"/>
    </row>
    <row r="1382" spans="19:23" ht="12.75">
      <c r="S1382" s="140"/>
      <c r="T1382" s="47" t="s">
        <v>2662</v>
      </c>
      <c r="U1382" s="47" t="s">
        <v>4730</v>
      </c>
      <c r="V1382" s="141">
        <v>312399</v>
      </c>
      <c r="W1382" s="337"/>
    </row>
    <row r="1383" spans="19:23" ht="12.75">
      <c r="S1383" s="140"/>
      <c r="T1383" s="47" t="s">
        <v>2661</v>
      </c>
      <c r="U1383" s="47" t="s">
        <v>4729</v>
      </c>
      <c r="V1383" s="141">
        <v>319616</v>
      </c>
      <c r="W1383" s="337"/>
    </row>
    <row r="1384" spans="19:23" ht="12.75">
      <c r="S1384" s="140"/>
      <c r="T1384" s="47" t="s">
        <v>1920</v>
      </c>
      <c r="U1384" s="47" t="s">
        <v>1921</v>
      </c>
      <c r="V1384" s="141">
        <v>409595</v>
      </c>
      <c r="W1384" s="139"/>
    </row>
    <row r="1385" spans="19:23" ht="12.75">
      <c r="S1385" s="140"/>
      <c r="T1385" s="47" t="s">
        <v>2663</v>
      </c>
      <c r="U1385" s="47" t="s">
        <v>4731</v>
      </c>
      <c r="V1385" s="141">
        <v>284460</v>
      </c>
      <c r="W1385" s="337"/>
    </row>
    <row r="1386" spans="19:23" ht="12.75">
      <c r="S1386" s="140"/>
      <c r="T1386" s="47" t="s">
        <v>2665</v>
      </c>
      <c r="U1386" s="47" t="s">
        <v>3710</v>
      </c>
      <c r="V1386" s="141">
        <v>290091</v>
      </c>
      <c r="W1386" s="337"/>
    </row>
    <row r="1387" spans="19:23" ht="12.75">
      <c r="S1387" s="140"/>
      <c r="T1387" s="47" t="s">
        <v>2664</v>
      </c>
      <c r="U1387" s="47" t="s">
        <v>4732</v>
      </c>
      <c r="V1387" s="141">
        <v>297309</v>
      </c>
      <c r="W1387" s="337"/>
    </row>
    <row r="1388" spans="19:23" ht="12.75">
      <c r="S1388" s="140"/>
      <c r="T1388" s="47" t="s">
        <v>2667</v>
      </c>
      <c r="U1388" s="47" t="s">
        <v>3712</v>
      </c>
      <c r="V1388" s="141">
        <v>314299</v>
      </c>
      <c r="W1388" s="337"/>
    </row>
    <row r="1389" spans="19:23" ht="12.75">
      <c r="S1389" s="140"/>
      <c r="T1389" s="47" t="s">
        <v>2666</v>
      </c>
      <c r="U1389" s="47" t="s">
        <v>3711</v>
      </c>
      <c r="V1389" s="141">
        <v>321517</v>
      </c>
      <c r="W1389" s="337"/>
    </row>
    <row r="1390" spans="19:23" ht="12.75">
      <c r="S1390" s="140"/>
      <c r="T1390" s="47" t="s">
        <v>1922</v>
      </c>
      <c r="U1390" s="47" t="s">
        <v>1923</v>
      </c>
      <c r="V1390" s="141">
        <v>411497</v>
      </c>
      <c r="W1390" s="139"/>
    </row>
    <row r="1391" spans="19:23" ht="12.75">
      <c r="S1391" s="140"/>
      <c r="T1391" s="47" t="s">
        <v>2668</v>
      </c>
      <c r="U1391" s="47" t="s">
        <v>2852</v>
      </c>
      <c r="V1391" s="141">
        <v>291199</v>
      </c>
      <c r="W1391" s="139"/>
    </row>
    <row r="1392" spans="19:23" ht="12.75">
      <c r="S1392" s="140"/>
      <c r="T1392" s="47" t="s">
        <v>2670</v>
      </c>
      <c r="U1392" s="47" t="s">
        <v>2854</v>
      </c>
      <c r="V1392" s="141">
        <v>296829</v>
      </c>
      <c r="W1392" s="139"/>
    </row>
    <row r="1393" spans="19:23" ht="12.75">
      <c r="S1393" s="140"/>
      <c r="T1393" s="47" t="s">
        <v>2669</v>
      </c>
      <c r="U1393" s="47" t="s">
        <v>2853</v>
      </c>
      <c r="V1393" s="141">
        <v>304048</v>
      </c>
      <c r="W1393" s="139"/>
    </row>
    <row r="1394" spans="19:23" ht="12.75">
      <c r="S1394" s="140"/>
      <c r="T1394" s="47" t="s">
        <v>2672</v>
      </c>
      <c r="U1394" s="47" t="s">
        <v>3717</v>
      </c>
      <c r="V1394" s="141">
        <v>321038</v>
      </c>
      <c r="W1394" s="139"/>
    </row>
    <row r="1395" spans="19:23" ht="12.75">
      <c r="S1395" s="140"/>
      <c r="T1395" s="47" t="s">
        <v>2671</v>
      </c>
      <c r="U1395" s="47" t="s">
        <v>3716</v>
      </c>
      <c r="V1395" s="141">
        <v>328256</v>
      </c>
      <c r="W1395" s="139"/>
    </row>
    <row r="1396" spans="19:23" ht="12.75">
      <c r="S1396" s="140"/>
      <c r="T1396" s="47" t="s">
        <v>1924</v>
      </c>
      <c r="U1396" s="47" t="s">
        <v>1925</v>
      </c>
      <c r="V1396" s="141">
        <v>418235</v>
      </c>
      <c r="W1396" s="139"/>
    </row>
    <row r="1397" spans="19:23" ht="12.75">
      <c r="S1397" s="140"/>
      <c r="T1397" s="47" t="s">
        <v>2358</v>
      </c>
      <c r="U1397" s="47" t="s">
        <v>1558</v>
      </c>
      <c r="V1397" s="141">
        <v>38647</v>
      </c>
      <c r="W1397" s="337"/>
    </row>
    <row r="1398" spans="19:23" ht="12.75">
      <c r="S1398" s="140"/>
      <c r="T1398" s="47" t="s">
        <v>2359</v>
      </c>
      <c r="U1398" s="47" t="s">
        <v>1559</v>
      </c>
      <c r="V1398" s="141">
        <v>58897</v>
      </c>
      <c r="W1398" s="337"/>
    </row>
    <row r="1399" spans="19:23" ht="12.75">
      <c r="S1399" s="140"/>
      <c r="T1399" s="47" t="s">
        <v>2356</v>
      </c>
      <c r="U1399" s="47" t="s">
        <v>1556</v>
      </c>
      <c r="V1399" s="141">
        <v>63469</v>
      </c>
      <c r="W1399" s="337"/>
    </row>
    <row r="1400" spans="19:23" ht="12.75">
      <c r="S1400" s="140"/>
      <c r="T1400" s="47" t="s">
        <v>2357</v>
      </c>
      <c r="U1400" s="47" t="s">
        <v>1557</v>
      </c>
      <c r="V1400" s="141">
        <v>38647</v>
      </c>
      <c r="W1400" s="337"/>
    </row>
    <row r="1401" spans="19:23" ht="12.75">
      <c r="S1401" s="140"/>
      <c r="T1401" s="47" t="s">
        <v>4972</v>
      </c>
      <c r="U1401" s="47" t="s">
        <v>4258</v>
      </c>
      <c r="V1401" s="141">
        <v>48772</v>
      </c>
      <c r="W1401" s="139"/>
    </row>
    <row r="1402" spans="19:23" ht="12.75">
      <c r="S1402" s="140"/>
      <c r="T1402" s="47" t="s">
        <v>4958</v>
      </c>
      <c r="U1402" s="47" t="s">
        <v>4244</v>
      </c>
      <c r="V1402" s="141">
        <v>42739</v>
      </c>
      <c r="W1402" s="139"/>
    </row>
    <row r="1403" spans="19:23" ht="12.75">
      <c r="S1403" s="140"/>
      <c r="T1403" s="47" t="s">
        <v>4973</v>
      </c>
      <c r="U1403" s="47" t="s">
        <v>4259</v>
      </c>
      <c r="V1403" s="141">
        <v>44475</v>
      </c>
      <c r="W1403" s="139"/>
    </row>
    <row r="1404" spans="19:23" ht="12.75">
      <c r="S1404" s="140"/>
      <c r="T1404" s="47" t="s">
        <v>4974</v>
      </c>
      <c r="U1404" s="47" t="s">
        <v>4260</v>
      </c>
      <c r="V1404" s="141">
        <v>51059</v>
      </c>
      <c r="W1404" s="139"/>
    </row>
    <row r="1405" spans="19:23" ht="12.75">
      <c r="S1405" s="140"/>
      <c r="T1405" s="47" t="s">
        <v>4975</v>
      </c>
      <c r="U1405" s="47" t="s">
        <v>4261</v>
      </c>
      <c r="V1405" s="141">
        <v>35145</v>
      </c>
      <c r="W1405" s="139"/>
    </row>
    <row r="1406" spans="19:23" ht="12.75">
      <c r="S1406" s="140"/>
      <c r="T1406" s="47" t="s">
        <v>4976</v>
      </c>
      <c r="U1406" s="47" t="s">
        <v>4262</v>
      </c>
      <c r="V1406" s="141">
        <v>38647</v>
      </c>
      <c r="W1406" s="139"/>
    </row>
    <row r="1407" spans="19:23" ht="12.75">
      <c r="S1407" s="140"/>
      <c r="T1407" s="47" t="s">
        <v>4978</v>
      </c>
      <c r="U1407" s="47" t="s">
        <v>4264</v>
      </c>
      <c r="V1407" s="141">
        <v>42739</v>
      </c>
      <c r="W1407" s="139"/>
    </row>
    <row r="1408" spans="19:23" ht="12.75">
      <c r="S1408" s="140"/>
      <c r="T1408" s="47" t="s">
        <v>4971</v>
      </c>
      <c r="U1408" s="47" t="s">
        <v>4257</v>
      </c>
      <c r="V1408" s="141">
        <v>48772</v>
      </c>
      <c r="W1408" s="139"/>
    </row>
    <row r="1409" spans="19:23" ht="12.75">
      <c r="S1409" s="140"/>
      <c r="T1409" s="47" t="s">
        <v>4980</v>
      </c>
      <c r="U1409" s="47" t="s">
        <v>4266</v>
      </c>
      <c r="V1409" s="141">
        <v>52043</v>
      </c>
      <c r="W1409" s="139"/>
    </row>
    <row r="1410" spans="19:23" ht="12.75">
      <c r="S1410" s="140"/>
      <c r="T1410" s="47" t="s">
        <v>4979</v>
      </c>
      <c r="U1410" s="47" t="s">
        <v>4265</v>
      </c>
      <c r="V1410" s="141">
        <v>61184</v>
      </c>
      <c r="W1410" s="139"/>
    </row>
    <row r="1411" spans="19:23" ht="12.75">
      <c r="S1411" s="140"/>
      <c r="T1411" s="47" t="s">
        <v>4970</v>
      </c>
      <c r="U1411" s="47" t="s">
        <v>4256</v>
      </c>
      <c r="V1411" s="141">
        <v>42739</v>
      </c>
      <c r="W1411" s="139"/>
    </row>
    <row r="1412" spans="19:23" ht="12.75">
      <c r="S1412" s="140"/>
      <c r="T1412" s="47" t="s">
        <v>4959</v>
      </c>
      <c r="U1412" s="47" t="s">
        <v>4245</v>
      </c>
      <c r="V1412" s="141">
        <v>48772</v>
      </c>
      <c r="W1412" s="139"/>
    </row>
    <row r="1413" spans="19:23" ht="12.75">
      <c r="S1413" s="140"/>
      <c r="T1413" s="47" t="s">
        <v>4969</v>
      </c>
      <c r="U1413" s="47" t="s">
        <v>4255</v>
      </c>
      <c r="V1413" s="141">
        <v>44475</v>
      </c>
      <c r="W1413" s="139"/>
    </row>
    <row r="1414" spans="19:23" ht="12.75">
      <c r="S1414" s="140"/>
      <c r="T1414" s="47" t="s">
        <v>4977</v>
      </c>
      <c r="U1414" s="47" t="s">
        <v>4263</v>
      </c>
      <c r="V1414" s="141">
        <v>51059</v>
      </c>
      <c r="W1414" s="139"/>
    </row>
    <row r="1415" spans="19:23" ht="12.75">
      <c r="S1415" s="140"/>
      <c r="T1415" s="47" t="s">
        <v>4968</v>
      </c>
      <c r="U1415" s="47" t="s">
        <v>4254</v>
      </c>
      <c r="V1415" s="141">
        <v>61184</v>
      </c>
      <c r="W1415" s="139"/>
    </row>
    <row r="1416" spans="19:23" ht="12.75">
      <c r="S1416" s="140"/>
      <c r="T1416" s="47" t="s">
        <v>4967</v>
      </c>
      <c r="U1416" s="47" t="s">
        <v>4253</v>
      </c>
      <c r="V1416" s="141">
        <v>44475</v>
      </c>
      <c r="W1416" s="139"/>
    </row>
    <row r="1417" spans="19:23" ht="12.75">
      <c r="S1417" s="140"/>
      <c r="T1417" s="47" t="s">
        <v>4966</v>
      </c>
      <c r="U1417" s="47" t="s">
        <v>4252</v>
      </c>
      <c r="V1417" s="141">
        <v>51059</v>
      </c>
      <c r="W1417" s="139"/>
    </row>
    <row r="1418" spans="19:23" ht="12.75">
      <c r="S1418" s="140"/>
      <c r="T1418" s="47" t="s">
        <v>4965</v>
      </c>
      <c r="U1418" s="47" t="s">
        <v>4251</v>
      </c>
      <c r="V1418" s="141">
        <v>35145</v>
      </c>
      <c r="W1418" s="139"/>
    </row>
    <row r="1419" spans="19:23" ht="12.75">
      <c r="S1419" s="140"/>
      <c r="T1419" s="47" t="s">
        <v>4964</v>
      </c>
      <c r="U1419" s="47" t="s">
        <v>4250</v>
      </c>
      <c r="V1419" s="141">
        <v>38647</v>
      </c>
      <c r="W1419" s="139"/>
    </row>
    <row r="1420" spans="19:23" ht="12.75">
      <c r="S1420" s="140"/>
      <c r="T1420" s="47" t="s">
        <v>4963</v>
      </c>
      <c r="U1420" s="47" t="s">
        <v>4249</v>
      </c>
      <c r="V1420" s="141">
        <v>42739</v>
      </c>
      <c r="W1420" s="139"/>
    </row>
    <row r="1421" spans="19:23" ht="12.75">
      <c r="S1421" s="140"/>
      <c r="T1421" s="47" t="s">
        <v>4962</v>
      </c>
      <c r="U1421" s="47" t="s">
        <v>4248</v>
      </c>
      <c r="V1421" s="141">
        <v>48772</v>
      </c>
      <c r="W1421" s="139"/>
    </row>
    <row r="1422" spans="19:23" ht="12.75">
      <c r="S1422" s="140"/>
      <c r="T1422" s="47" t="s">
        <v>4961</v>
      </c>
      <c r="U1422" s="47" t="s">
        <v>4247</v>
      </c>
      <c r="V1422" s="141">
        <v>44475</v>
      </c>
      <c r="W1422" s="139"/>
    </row>
    <row r="1423" spans="19:23" ht="12.75">
      <c r="S1423" s="140"/>
      <c r="T1423" s="47" t="s">
        <v>4957</v>
      </c>
      <c r="U1423" s="47" t="s">
        <v>4243</v>
      </c>
      <c r="V1423" s="141">
        <v>51059</v>
      </c>
      <c r="W1423" s="139"/>
    </row>
    <row r="1424" spans="19:23" ht="12.75">
      <c r="S1424" s="140"/>
      <c r="T1424" s="47" t="s">
        <v>4960</v>
      </c>
      <c r="U1424" s="47" t="s">
        <v>4246</v>
      </c>
      <c r="V1424" s="141">
        <v>52043</v>
      </c>
      <c r="W1424" s="139"/>
    </row>
    <row r="1425" spans="19:23" ht="12.75">
      <c r="S1425" s="140"/>
      <c r="T1425" s="47" t="s">
        <v>2674</v>
      </c>
      <c r="U1425" s="47" t="s">
        <v>3720</v>
      </c>
      <c r="V1425" s="141">
        <v>252728</v>
      </c>
      <c r="W1425" s="139"/>
    </row>
    <row r="1426" spans="19:23" ht="12.75">
      <c r="S1426" s="140"/>
      <c r="T1426" s="47" t="s">
        <v>2680</v>
      </c>
      <c r="U1426" s="47" t="s">
        <v>2862</v>
      </c>
      <c r="V1426" s="141">
        <v>258358</v>
      </c>
      <c r="W1426" s="139"/>
    </row>
    <row r="1427" spans="19:23" ht="12.75">
      <c r="S1427" s="140"/>
      <c r="T1427" s="47" t="s">
        <v>2677</v>
      </c>
      <c r="U1427" s="47" t="s">
        <v>2859</v>
      </c>
      <c r="V1427" s="141">
        <v>265576</v>
      </c>
      <c r="W1427" s="139"/>
    </row>
    <row r="1428" spans="19:23" ht="12.75">
      <c r="S1428" s="140"/>
      <c r="T1428" s="47" t="s">
        <v>4636</v>
      </c>
      <c r="U1428" s="47" t="s">
        <v>2868</v>
      </c>
      <c r="V1428" s="141">
        <v>282567</v>
      </c>
      <c r="W1428" s="139"/>
    </row>
    <row r="1429" spans="19:23" ht="12.75">
      <c r="S1429" s="140"/>
      <c r="T1429" s="47" t="s">
        <v>4633</v>
      </c>
      <c r="U1429" s="47" t="s">
        <v>2865</v>
      </c>
      <c r="V1429" s="141">
        <v>289784</v>
      </c>
      <c r="W1429" s="139"/>
    </row>
    <row r="1430" spans="19:23" ht="12.75">
      <c r="S1430" s="140"/>
      <c r="T1430" s="47" t="s">
        <v>1926</v>
      </c>
      <c r="U1430" s="47" t="s">
        <v>1927</v>
      </c>
      <c r="V1430" s="141">
        <v>379764</v>
      </c>
      <c r="W1430" s="139"/>
    </row>
    <row r="1431" spans="19:23" ht="12.75">
      <c r="S1431" s="140"/>
      <c r="T1431" s="47" t="s">
        <v>2675</v>
      </c>
      <c r="U1431" s="47" t="s">
        <v>3721</v>
      </c>
      <c r="V1431" s="141">
        <v>276161</v>
      </c>
      <c r="W1431" s="139"/>
    </row>
    <row r="1432" spans="19:23" ht="12.75">
      <c r="S1432" s="140"/>
      <c r="T1432" s="47" t="s">
        <v>2681</v>
      </c>
      <c r="U1432" s="47" t="s">
        <v>2863</v>
      </c>
      <c r="V1432" s="141">
        <v>281792</v>
      </c>
      <c r="W1432" s="139"/>
    </row>
    <row r="1433" spans="19:23" ht="12.75">
      <c r="S1433" s="140"/>
      <c r="T1433" s="47" t="s">
        <v>2678</v>
      </c>
      <c r="U1433" s="47" t="s">
        <v>2860</v>
      </c>
      <c r="V1433" s="141">
        <v>289010</v>
      </c>
      <c r="W1433" s="139"/>
    </row>
    <row r="1434" spans="19:23" ht="12.75">
      <c r="S1434" s="140"/>
      <c r="T1434" s="47" t="s">
        <v>4637</v>
      </c>
      <c r="U1434" s="47" t="s">
        <v>2869</v>
      </c>
      <c r="V1434" s="141">
        <v>306002</v>
      </c>
      <c r="W1434" s="139"/>
    </row>
    <row r="1435" spans="19:23" ht="12.75">
      <c r="S1435" s="140"/>
      <c r="T1435" s="47" t="s">
        <v>4634</v>
      </c>
      <c r="U1435" s="47" t="s">
        <v>2866</v>
      </c>
      <c r="V1435" s="141">
        <v>313218</v>
      </c>
      <c r="W1435" s="139"/>
    </row>
    <row r="1436" spans="19:23" ht="12.75">
      <c r="S1436" s="140"/>
      <c r="T1436" s="47" t="s">
        <v>2673</v>
      </c>
      <c r="U1436" s="47" t="s">
        <v>3718</v>
      </c>
      <c r="V1436" s="141">
        <v>279591</v>
      </c>
      <c r="W1436" s="139"/>
    </row>
    <row r="1437" spans="19:23" ht="12.75">
      <c r="S1437" s="140"/>
      <c r="T1437" s="47" t="s">
        <v>2679</v>
      </c>
      <c r="U1437" s="47" t="s">
        <v>2861</v>
      </c>
      <c r="V1437" s="141">
        <v>285222</v>
      </c>
      <c r="W1437" s="139"/>
    </row>
    <row r="1438" spans="19:23" ht="12.75">
      <c r="S1438" s="140"/>
      <c r="T1438" s="47" t="s">
        <v>2676</v>
      </c>
      <c r="U1438" s="47" t="s">
        <v>3722</v>
      </c>
      <c r="V1438" s="141">
        <v>292440</v>
      </c>
      <c r="W1438" s="139"/>
    </row>
    <row r="1439" spans="19:23" ht="12.75">
      <c r="S1439" s="140"/>
      <c r="T1439" s="47" t="s">
        <v>4635</v>
      </c>
      <c r="U1439" s="47" t="s">
        <v>2867</v>
      </c>
      <c r="V1439" s="141">
        <v>309430</v>
      </c>
      <c r="W1439" s="139"/>
    </row>
    <row r="1440" spans="19:23" ht="12.75">
      <c r="S1440" s="140"/>
      <c r="T1440" s="47" t="s">
        <v>4632</v>
      </c>
      <c r="U1440" s="47" t="s">
        <v>2864</v>
      </c>
      <c r="V1440" s="141">
        <v>316648</v>
      </c>
      <c r="W1440" s="139"/>
    </row>
    <row r="1441" spans="19:23" ht="12.75">
      <c r="S1441" s="140"/>
      <c r="T1441" s="47" t="s">
        <v>4639</v>
      </c>
      <c r="U1441" s="47" t="s">
        <v>2872</v>
      </c>
      <c r="V1441" s="141">
        <v>258382</v>
      </c>
      <c r="W1441" s="139"/>
    </row>
    <row r="1442" spans="19:23" ht="12.75">
      <c r="S1442" s="140"/>
      <c r="T1442" s="47" t="s">
        <v>4327</v>
      </c>
      <c r="U1442" s="47" t="s">
        <v>2878</v>
      </c>
      <c r="V1442" s="141">
        <v>264013</v>
      </c>
      <c r="W1442" s="139"/>
    </row>
    <row r="1443" spans="19:23" ht="12.75">
      <c r="S1443" s="140"/>
      <c r="T1443" s="47" t="s">
        <v>4324</v>
      </c>
      <c r="U1443" s="47" t="s">
        <v>2875</v>
      </c>
      <c r="V1443" s="141">
        <v>271231</v>
      </c>
      <c r="W1443" s="139"/>
    </row>
    <row r="1444" spans="19:23" ht="12.75">
      <c r="S1444" s="140"/>
      <c r="T1444" s="47" t="s">
        <v>4333</v>
      </c>
      <c r="U1444" s="47" t="s">
        <v>2884</v>
      </c>
      <c r="V1444" s="141">
        <v>288221</v>
      </c>
      <c r="W1444" s="139"/>
    </row>
    <row r="1445" spans="19:23" ht="12.75">
      <c r="S1445" s="140"/>
      <c r="T1445" s="47" t="s">
        <v>4330</v>
      </c>
      <c r="U1445" s="47" t="s">
        <v>2881</v>
      </c>
      <c r="V1445" s="141">
        <v>295439</v>
      </c>
      <c r="W1445" s="139"/>
    </row>
    <row r="1446" spans="19:23" ht="12.75">
      <c r="S1446" s="140"/>
      <c r="T1446" s="47" t="s">
        <v>1928</v>
      </c>
      <c r="U1446" s="47" t="s">
        <v>1929</v>
      </c>
      <c r="V1446" s="141">
        <v>385419</v>
      </c>
      <c r="W1446" s="139"/>
    </row>
    <row r="1447" spans="19:23" ht="12.75">
      <c r="S1447" s="140"/>
      <c r="T1447" s="47" t="s">
        <v>4640</v>
      </c>
      <c r="U1447" s="47" t="s">
        <v>2873</v>
      </c>
      <c r="V1447" s="141">
        <v>281816</v>
      </c>
      <c r="W1447" s="139"/>
    </row>
    <row r="1448" spans="19:23" ht="12.75">
      <c r="S1448" s="140"/>
      <c r="T1448" s="47" t="s">
        <v>4328</v>
      </c>
      <c r="U1448" s="47" t="s">
        <v>2879</v>
      </c>
      <c r="V1448" s="141">
        <v>287447</v>
      </c>
      <c r="W1448" s="139"/>
    </row>
    <row r="1449" spans="19:23" ht="12.75">
      <c r="S1449" s="140"/>
      <c r="T1449" s="47" t="s">
        <v>4325</v>
      </c>
      <c r="U1449" s="47" t="s">
        <v>2876</v>
      </c>
      <c r="V1449" s="141">
        <v>294664</v>
      </c>
      <c r="W1449" s="139"/>
    </row>
    <row r="1450" spans="19:23" ht="12.75">
      <c r="S1450" s="140"/>
      <c r="T1450" s="47" t="s">
        <v>4334</v>
      </c>
      <c r="U1450" s="47" t="s">
        <v>2885</v>
      </c>
      <c r="V1450" s="141">
        <v>311655</v>
      </c>
      <c r="W1450" s="139"/>
    </row>
    <row r="1451" spans="19:23" ht="12.75">
      <c r="S1451" s="140"/>
      <c r="T1451" s="47" t="s">
        <v>4331</v>
      </c>
      <c r="U1451" s="47" t="s">
        <v>2882</v>
      </c>
      <c r="V1451" s="141">
        <v>318873</v>
      </c>
      <c r="W1451" s="139"/>
    </row>
    <row r="1452" spans="19:23" ht="12.75">
      <c r="S1452" s="140"/>
      <c r="T1452" s="47" t="s">
        <v>4638</v>
      </c>
      <c r="U1452" s="47" t="s">
        <v>2870</v>
      </c>
      <c r="V1452" s="141">
        <v>285245</v>
      </c>
      <c r="W1452" s="139"/>
    </row>
    <row r="1453" spans="19:23" ht="12.75">
      <c r="S1453" s="140"/>
      <c r="T1453" s="47" t="s">
        <v>4326</v>
      </c>
      <c r="U1453" s="47" t="s">
        <v>2877</v>
      </c>
      <c r="V1453" s="141">
        <v>290876</v>
      </c>
      <c r="W1453" s="139"/>
    </row>
    <row r="1454" spans="19:23" ht="12.75">
      <c r="S1454" s="140"/>
      <c r="T1454" s="47" t="s">
        <v>4323</v>
      </c>
      <c r="U1454" s="47" t="s">
        <v>2874</v>
      </c>
      <c r="V1454" s="141">
        <v>298093</v>
      </c>
      <c r="W1454" s="139"/>
    </row>
    <row r="1455" spans="19:23" ht="12.75">
      <c r="S1455" s="140"/>
      <c r="T1455" s="47" t="s">
        <v>4332</v>
      </c>
      <c r="U1455" s="47" t="s">
        <v>2883</v>
      </c>
      <c r="V1455" s="141">
        <v>315085</v>
      </c>
      <c r="W1455" s="139"/>
    </row>
    <row r="1456" spans="19:23" ht="12.75">
      <c r="S1456" s="140"/>
      <c r="T1456" s="47" t="s">
        <v>4329</v>
      </c>
      <c r="U1456" s="47" t="s">
        <v>2880</v>
      </c>
      <c r="V1456" s="141">
        <v>322303</v>
      </c>
      <c r="W1456" s="139"/>
    </row>
    <row r="1457" spans="19:23" ht="12.75">
      <c r="S1457" s="140"/>
      <c r="T1457" s="47" t="s">
        <v>4336</v>
      </c>
      <c r="U1457" s="47" t="s">
        <v>2887</v>
      </c>
      <c r="V1457" s="141">
        <v>297577</v>
      </c>
      <c r="W1457" s="139"/>
    </row>
    <row r="1458" spans="19:23" ht="12.75">
      <c r="S1458" s="140"/>
      <c r="T1458" s="47" t="s">
        <v>4342</v>
      </c>
      <c r="U1458" s="47" t="s">
        <v>2893</v>
      </c>
      <c r="V1458" s="141">
        <v>303206</v>
      </c>
      <c r="W1458" s="139"/>
    </row>
    <row r="1459" spans="19:23" ht="12.75">
      <c r="S1459" s="140"/>
      <c r="T1459" s="47" t="s">
        <v>4339</v>
      </c>
      <c r="U1459" s="47" t="s">
        <v>2890</v>
      </c>
      <c r="V1459" s="141">
        <v>310424</v>
      </c>
      <c r="W1459" s="139"/>
    </row>
    <row r="1460" spans="19:23" ht="12.75">
      <c r="S1460" s="140"/>
      <c r="T1460" s="47" t="s">
        <v>4348</v>
      </c>
      <c r="U1460" s="47" t="s">
        <v>2899</v>
      </c>
      <c r="V1460" s="141">
        <v>327415</v>
      </c>
      <c r="W1460" s="139"/>
    </row>
    <row r="1461" spans="19:23" ht="12.75">
      <c r="S1461" s="140"/>
      <c r="T1461" s="47" t="s">
        <v>4345</v>
      </c>
      <c r="U1461" s="47" t="s">
        <v>2896</v>
      </c>
      <c r="V1461" s="141">
        <v>334633</v>
      </c>
      <c r="W1461" s="139"/>
    </row>
    <row r="1462" spans="19:23" ht="12.75">
      <c r="S1462" s="140"/>
      <c r="T1462" s="47" t="s">
        <v>1930</v>
      </c>
      <c r="U1462" s="47" t="s">
        <v>1931</v>
      </c>
      <c r="V1462" s="141">
        <v>424613</v>
      </c>
      <c r="W1462" s="139"/>
    </row>
    <row r="1463" spans="19:23" ht="12.75">
      <c r="S1463" s="140"/>
      <c r="T1463" s="47" t="s">
        <v>4337</v>
      </c>
      <c r="U1463" s="47" t="s">
        <v>2888</v>
      </c>
      <c r="V1463" s="141">
        <v>321010</v>
      </c>
      <c r="W1463" s="139"/>
    </row>
    <row r="1464" spans="19:23" ht="12.75">
      <c r="S1464" s="140"/>
      <c r="T1464" s="47" t="s">
        <v>4343</v>
      </c>
      <c r="U1464" s="47" t="s">
        <v>2894</v>
      </c>
      <c r="V1464" s="141">
        <v>326639</v>
      </c>
      <c r="W1464" s="139"/>
    </row>
    <row r="1465" spans="19:23" ht="12.75">
      <c r="S1465" s="140"/>
      <c r="T1465" s="47" t="s">
        <v>4340</v>
      </c>
      <c r="U1465" s="47" t="s">
        <v>2891</v>
      </c>
      <c r="V1465" s="141">
        <v>333858</v>
      </c>
      <c r="W1465" s="139"/>
    </row>
    <row r="1466" spans="19:23" ht="12.75">
      <c r="S1466" s="140"/>
      <c r="T1466" s="47" t="s">
        <v>4349</v>
      </c>
      <c r="U1466" s="47" t="s">
        <v>2900</v>
      </c>
      <c r="V1466" s="141">
        <v>350849</v>
      </c>
      <c r="W1466" s="139"/>
    </row>
    <row r="1467" spans="19:23" ht="12.75">
      <c r="S1467" s="140"/>
      <c r="T1467" s="47" t="s">
        <v>4346</v>
      </c>
      <c r="U1467" s="47" t="s">
        <v>2897</v>
      </c>
      <c r="V1467" s="141">
        <v>358066</v>
      </c>
      <c r="W1467" s="139"/>
    </row>
    <row r="1468" spans="19:23" ht="12.75">
      <c r="S1468" s="140"/>
      <c r="T1468" s="47" t="s">
        <v>4335</v>
      </c>
      <c r="U1468" s="47" t="s">
        <v>2886</v>
      </c>
      <c r="V1468" s="141">
        <v>324439</v>
      </c>
      <c r="W1468" s="139"/>
    </row>
    <row r="1469" spans="19:23" ht="12.75">
      <c r="S1469" s="140"/>
      <c r="T1469" s="47" t="s">
        <v>4341</v>
      </c>
      <c r="U1469" s="47" t="s">
        <v>2892</v>
      </c>
      <c r="V1469" s="141">
        <v>330069</v>
      </c>
      <c r="W1469" s="139"/>
    </row>
    <row r="1470" spans="19:23" ht="12.75">
      <c r="S1470" s="140"/>
      <c r="T1470" s="47" t="s">
        <v>4338</v>
      </c>
      <c r="U1470" s="47" t="s">
        <v>2889</v>
      </c>
      <c r="V1470" s="141">
        <v>337287</v>
      </c>
      <c r="W1470" s="139"/>
    </row>
    <row r="1471" spans="19:23" ht="12.75">
      <c r="S1471" s="140"/>
      <c r="T1471" s="47" t="s">
        <v>4347</v>
      </c>
      <c r="U1471" s="47" t="s">
        <v>2898</v>
      </c>
      <c r="V1471" s="141">
        <v>354278</v>
      </c>
      <c r="W1471" s="139"/>
    </row>
    <row r="1472" spans="19:23" ht="12.75">
      <c r="S1472" s="140"/>
      <c r="T1472" s="47" t="s">
        <v>4344</v>
      </c>
      <c r="U1472" s="47" t="s">
        <v>2895</v>
      </c>
      <c r="V1472" s="141">
        <v>361498</v>
      </c>
      <c r="W1472" s="139"/>
    </row>
    <row r="1473" spans="19:23" ht="12.75">
      <c r="S1473" s="140"/>
      <c r="T1473" s="47" t="s">
        <v>4350</v>
      </c>
      <c r="U1473" s="47" t="s">
        <v>2901</v>
      </c>
      <c r="V1473" s="141">
        <v>264696</v>
      </c>
      <c r="W1473" s="139"/>
    </row>
    <row r="1474" spans="19:23" ht="12.75">
      <c r="S1474" s="140"/>
      <c r="T1474" s="47" t="s">
        <v>4352</v>
      </c>
      <c r="U1474" s="47" t="s">
        <v>2903</v>
      </c>
      <c r="V1474" s="141">
        <v>270326</v>
      </c>
      <c r="W1474" s="139"/>
    </row>
    <row r="1475" spans="19:23" ht="12.75">
      <c r="S1475" s="140"/>
      <c r="T1475" s="47" t="s">
        <v>4351</v>
      </c>
      <c r="U1475" s="47" t="s">
        <v>2902</v>
      </c>
      <c r="V1475" s="141">
        <v>277545</v>
      </c>
      <c r="W1475" s="139"/>
    </row>
    <row r="1476" spans="19:23" ht="12.75">
      <c r="S1476" s="140"/>
      <c r="T1476" s="47" t="s">
        <v>4354</v>
      </c>
      <c r="U1476" s="47" t="s">
        <v>2905</v>
      </c>
      <c r="V1476" s="141">
        <v>294536</v>
      </c>
      <c r="W1476" s="139"/>
    </row>
    <row r="1477" spans="19:23" ht="12.75">
      <c r="S1477" s="140"/>
      <c r="T1477" s="47" t="s">
        <v>4353</v>
      </c>
      <c r="U1477" s="47" t="s">
        <v>2904</v>
      </c>
      <c r="V1477" s="141">
        <v>301753</v>
      </c>
      <c r="W1477" s="139"/>
    </row>
    <row r="1478" spans="19:23" ht="12.75">
      <c r="S1478" s="140"/>
      <c r="T1478" s="47" t="s">
        <v>1932</v>
      </c>
      <c r="U1478" s="47" t="s">
        <v>1933</v>
      </c>
      <c r="V1478" s="141">
        <v>391733</v>
      </c>
      <c r="W1478" s="139"/>
    </row>
    <row r="1479" spans="19:23" ht="12.75">
      <c r="S1479" s="140"/>
      <c r="T1479" s="47" t="s">
        <v>4355</v>
      </c>
      <c r="U1479" s="47" t="s">
        <v>2906</v>
      </c>
      <c r="V1479" s="141">
        <v>280058</v>
      </c>
      <c r="W1479" s="139"/>
    </row>
    <row r="1480" spans="19:23" ht="12.75">
      <c r="S1480" s="140"/>
      <c r="T1480" s="47" t="s">
        <v>4357</v>
      </c>
      <c r="U1480" s="47" t="s">
        <v>2908</v>
      </c>
      <c r="V1480" s="141">
        <v>285688</v>
      </c>
      <c r="W1480" s="139"/>
    </row>
    <row r="1481" spans="19:23" ht="12.75">
      <c r="S1481" s="140"/>
      <c r="T1481" s="47" t="s">
        <v>4356</v>
      </c>
      <c r="U1481" s="47" t="s">
        <v>2907</v>
      </c>
      <c r="V1481" s="141">
        <v>292906</v>
      </c>
      <c r="W1481" s="139"/>
    </row>
    <row r="1482" spans="19:23" ht="12.75">
      <c r="S1482" s="140"/>
      <c r="T1482" s="47" t="s">
        <v>4359</v>
      </c>
      <c r="U1482" s="47" t="s">
        <v>2910</v>
      </c>
      <c r="V1482" s="141">
        <v>309897</v>
      </c>
      <c r="W1482" s="139"/>
    </row>
    <row r="1483" spans="19:23" ht="12.75">
      <c r="S1483" s="140"/>
      <c r="T1483" s="47" t="s">
        <v>4358</v>
      </c>
      <c r="U1483" s="47" t="s">
        <v>2909</v>
      </c>
      <c r="V1483" s="141">
        <v>317114</v>
      </c>
      <c r="W1483" s="139"/>
    </row>
    <row r="1484" spans="19:23" ht="12.75">
      <c r="S1484" s="140"/>
      <c r="T1484" s="47" t="s">
        <v>1934</v>
      </c>
      <c r="U1484" s="47" t="s">
        <v>1935</v>
      </c>
      <c r="V1484" s="141">
        <v>407093</v>
      </c>
      <c r="W1484" s="139"/>
    </row>
    <row r="1485" spans="19:23" ht="12.75">
      <c r="S1485" s="140"/>
      <c r="T1485" s="47" t="s">
        <v>4360</v>
      </c>
      <c r="U1485" s="47" t="s">
        <v>2911</v>
      </c>
      <c r="V1485" s="141">
        <v>305565</v>
      </c>
      <c r="W1485" s="139"/>
    </row>
    <row r="1486" spans="19:23" ht="12.75">
      <c r="S1486" s="140"/>
      <c r="T1486" s="47" t="s">
        <v>4362</v>
      </c>
      <c r="U1486" s="47" t="s">
        <v>2913</v>
      </c>
      <c r="V1486" s="141">
        <v>311195</v>
      </c>
      <c r="W1486" s="139"/>
    </row>
    <row r="1487" spans="19:23" ht="12.75">
      <c r="S1487" s="140"/>
      <c r="T1487" s="47" t="s">
        <v>4361</v>
      </c>
      <c r="U1487" s="47" t="s">
        <v>2912</v>
      </c>
      <c r="V1487" s="141">
        <v>318411</v>
      </c>
      <c r="W1487" s="139"/>
    </row>
    <row r="1488" spans="19:23" ht="12.75">
      <c r="S1488" s="140"/>
      <c r="T1488" s="47" t="s">
        <v>4364</v>
      </c>
      <c r="U1488" s="47" t="s">
        <v>2915</v>
      </c>
      <c r="V1488" s="141">
        <v>335403</v>
      </c>
      <c r="W1488" s="139"/>
    </row>
    <row r="1489" spans="19:23" ht="12.75">
      <c r="S1489" s="140"/>
      <c r="T1489" s="47" t="s">
        <v>4363</v>
      </c>
      <c r="U1489" s="47" t="s">
        <v>2914</v>
      </c>
      <c r="V1489" s="141">
        <v>342620</v>
      </c>
      <c r="W1489" s="139"/>
    </row>
    <row r="1490" spans="19:23" ht="12.75">
      <c r="S1490" s="140"/>
      <c r="T1490" s="47" t="s">
        <v>1936</v>
      </c>
      <c r="U1490" s="47" t="s">
        <v>1937</v>
      </c>
      <c r="V1490" s="141">
        <v>432600</v>
      </c>
      <c r="W1490" s="139"/>
    </row>
    <row r="1491" spans="19:23" ht="12.75">
      <c r="S1491" s="140"/>
      <c r="T1491" s="47" t="s">
        <v>2362</v>
      </c>
      <c r="U1491" s="47" t="s">
        <v>1562</v>
      </c>
      <c r="V1491" s="141">
        <v>54059</v>
      </c>
      <c r="W1491" s="337"/>
    </row>
    <row r="1492" spans="19:23" ht="12.75">
      <c r="S1492" s="140"/>
      <c r="T1492" s="47" t="s">
        <v>2363</v>
      </c>
      <c r="U1492" s="47" t="s">
        <v>1563</v>
      </c>
      <c r="V1492" s="141">
        <v>77493</v>
      </c>
      <c r="W1492" s="337"/>
    </row>
    <row r="1493" spans="19:23" ht="12.75">
      <c r="S1493" s="140"/>
      <c r="T1493" s="47" t="s">
        <v>2360</v>
      </c>
      <c r="U1493" s="47" t="s">
        <v>1560</v>
      </c>
      <c r="V1493" s="141">
        <v>80922</v>
      </c>
      <c r="W1493" s="337"/>
    </row>
    <row r="1494" spans="19:23" ht="12.75">
      <c r="S1494" s="140"/>
      <c r="T1494" s="47" t="s">
        <v>2361</v>
      </c>
      <c r="U1494" s="47" t="s">
        <v>1561</v>
      </c>
      <c r="V1494" s="141">
        <v>54059</v>
      </c>
      <c r="W1494" s="337"/>
    </row>
    <row r="1495" spans="19:23" ht="12.75">
      <c r="S1495" s="140"/>
      <c r="T1495" s="47" t="s">
        <v>4366</v>
      </c>
      <c r="U1495" s="47" t="s">
        <v>2917</v>
      </c>
      <c r="V1495" s="141">
        <v>315827</v>
      </c>
      <c r="W1495" s="139"/>
    </row>
    <row r="1496" spans="19:23" ht="12.75">
      <c r="S1496" s="140"/>
      <c r="T1496" s="47" t="s">
        <v>4372</v>
      </c>
      <c r="U1496" s="47" t="s">
        <v>2923</v>
      </c>
      <c r="V1496" s="141">
        <v>321457</v>
      </c>
      <c r="W1496" s="139"/>
    </row>
    <row r="1497" spans="19:23" ht="12.75">
      <c r="S1497" s="140"/>
      <c r="T1497" s="47" t="s">
        <v>4369</v>
      </c>
      <c r="U1497" s="47" t="s">
        <v>2920</v>
      </c>
      <c r="V1497" s="141">
        <v>328675</v>
      </c>
      <c r="W1497" s="139"/>
    </row>
    <row r="1498" spans="19:23" ht="12.75">
      <c r="S1498" s="140"/>
      <c r="T1498" s="47" t="s">
        <v>4378</v>
      </c>
      <c r="U1498" s="47" t="s">
        <v>2929</v>
      </c>
      <c r="V1498" s="141">
        <v>345665</v>
      </c>
      <c r="W1498" s="139"/>
    </row>
    <row r="1499" spans="19:23" ht="12.75">
      <c r="S1499" s="140"/>
      <c r="T1499" s="47" t="s">
        <v>4375</v>
      </c>
      <c r="U1499" s="47" t="s">
        <v>2926</v>
      </c>
      <c r="V1499" s="141">
        <v>352885</v>
      </c>
      <c r="W1499" s="139"/>
    </row>
    <row r="1500" spans="19:23" ht="12.75">
      <c r="S1500" s="140"/>
      <c r="T1500" s="47" t="s">
        <v>1938</v>
      </c>
      <c r="U1500" s="47" t="s">
        <v>1939</v>
      </c>
      <c r="V1500" s="141">
        <v>442863</v>
      </c>
      <c r="W1500" s="139"/>
    </row>
    <row r="1501" spans="19:23" ht="12.75">
      <c r="S1501" s="140"/>
      <c r="T1501" s="47" t="s">
        <v>4367</v>
      </c>
      <c r="U1501" s="47" t="s">
        <v>2918</v>
      </c>
      <c r="V1501" s="141">
        <v>346936</v>
      </c>
      <c r="W1501" s="139"/>
    </row>
    <row r="1502" spans="19:23" ht="12.75">
      <c r="S1502" s="140"/>
      <c r="T1502" s="47" t="s">
        <v>4373</v>
      </c>
      <c r="U1502" s="47" t="s">
        <v>2924</v>
      </c>
      <c r="V1502" s="141">
        <v>352566</v>
      </c>
      <c r="W1502" s="139"/>
    </row>
    <row r="1503" spans="19:23" ht="12.75">
      <c r="S1503" s="140"/>
      <c r="T1503" s="47" t="s">
        <v>4370</v>
      </c>
      <c r="U1503" s="47" t="s">
        <v>2921</v>
      </c>
      <c r="V1503" s="141">
        <v>359784</v>
      </c>
      <c r="W1503" s="139"/>
    </row>
    <row r="1504" spans="19:23" ht="12.75">
      <c r="S1504" s="140"/>
      <c r="T1504" s="47" t="s">
        <v>4379</v>
      </c>
      <c r="U1504" s="47" t="s">
        <v>2930</v>
      </c>
      <c r="V1504" s="141">
        <v>376776</v>
      </c>
      <c r="W1504" s="139"/>
    </row>
    <row r="1505" spans="19:23" ht="12.75">
      <c r="S1505" s="140"/>
      <c r="T1505" s="47" t="s">
        <v>4376</v>
      </c>
      <c r="U1505" s="47" t="s">
        <v>2927</v>
      </c>
      <c r="V1505" s="141">
        <v>383993</v>
      </c>
      <c r="W1505" s="139"/>
    </row>
    <row r="1506" spans="19:23" ht="12.75">
      <c r="S1506" s="140"/>
      <c r="T1506" s="47" t="s">
        <v>4365</v>
      </c>
      <c r="U1506" s="47" t="s">
        <v>2916</v>
      </c>
      <c r="V1506" s="141">
        <v>351467</v>
      </c>
      <c r="W1506" s="139"/>
    </row>
    <row r="1507" spans="19:23" ht="12.75">
      <c r="S1507" s="140"/>
      <c r="T1507" s="47" t="s">
        <v>4371</v>
      </c>
      <c r="U1507" s="47" t="s">
        <v>2922</v>
      </c>
      <c r="V1507" s="141">
        <v>357098</v>
      </c>
      <c r="W1507" s="139"/>
    </row>
    <row r="1508" spans="19:23" ht="12.75">
      <c r="S1508" s="140"/>
      <c r="T1508" s="47" t="s">
        <v>4368</v>
      </c>
      <c r="U1508" s="47" t="s">
        <v>2919</v>
      </c>
      <c r="V1508" s="141">
        <v>364316</v>
      </c>
      <c r="W1508" s="139"/>
    </row>
    <row r="1509" spans="19:23" ht="12.75">
      <c r="S1509" s="140"/>
      <c r="T1509" s="47" t="s">
        <v>4377</v>
      </c>
      <c r="U1509" s="47" t="s">
        <v>2928</v>
      </c>
      <c r="V1509" s="141">
        <v>381307</v>
      </c>
      <c r="W1509" s="139"/>
    </row>
    <row r="1510" spans="19:23" ht="12.75">
      <c r="S1510" s="140"/>
      <c r="T1510" s="47" t="s">
        <v>4374</v>
      </c>
      <c r="U1510" s="47" t="s">
        <v>2925</v>
      </c>
      <c r="V1510" s="141">
        <v>388525</v>
      </c>
      <c r="W1510" s="139"/>
    </row>
    <row r="1511" spans="19:23" ht="12.75">
      <c r="S1511" s="140"/>
      <c r="T1511" s="47" t="s">
        <v>4381</v>
      </c>
      <c r="U1511" s="47" t="s">
        <v>2932</v>
      </c>
      <c r="V1511" s="141">
        <v>314783</v>
      </c>
      <c r="W1511" s="139"/>
    </row>
    <row r="1512" spans="19:23" ht="12.75">
      <c r="S1512" s="140"/>
      <c r="T1512" s="47" t="s">
        <v>4387</v>
      </c>
      <c r="U1512" s="47" t="s">
        <v>2938</v>
      </c>
      <c r="V1512" s="141">
        <v>320413</v>
      </c>
      <c r="W1512" s="139"/>
    </row>
    <row r="1513" spans="19:23" ht="12.75">
      <c r="S1513" s="140"/>
      <c r="T1513" s="47" t="s">
        <v>4384</v>
      </c>
      <c r="U1513" s="47" t="s">
        <v>2935</v>
      </c>
      <c r="V1513" s="141">
        <v>327628</v>
      </c>
      <c r="W1513" s="139"/>
    </row>
    <row r="1514" spans="19:23" ht="12.75">
      <c r="S1514" s="140"/>
      <c r="T1514" s="47" t="s">
        <v>4393</v>
      </c>
      <c r="U1514" s="47" t="s">
        <v>3695</v>
      </c>
      <c r="V1514" s="141">
        <v>344621</v>
      </c>
      <c r="W1514" s="139"/>
    </row>
    <row r="1515" spans="19:23" ht="12.75">
      <c r="S1515" s="140"/>
      <c r="T1515" s="47" t="s">
        <v>4390</v>
      </c>
      <c r="U1515" s="47" t="s">
        <v>1415</v>
      </c>
      <c r="V1515" s="141">
        <v>351838</v>
      </c>
      <c r="W1515" s="139"/>
    </row>
    <row r="1516" spans="19:23" ht="12.75">
      <c r="S1516" s="140"/>
      <c r="T1516" s="47" t="s">
        <v>1940</v>
      </c>
      <c r="U1516" s="47" t="s">
        <v>1941</v>
      </c>
      <c r="V1516" s="141">
        <v>441818</v>
      </c>
      <c r="W1516" s="139"/>
    </row>
    <row r="1517" spans="19:23" ht="12.75">
      <c r="S1517" s="140"/>
      <c r="T1517" s="47" t="s">
        <v>4382</v>
      </c>
      <c r="U1517" s="47" t="s">
        <v>2933</v>
      </c>
      <c r="V1517" s="141">
        <v>345891</v>
      </c>
      <c r="W1517" s="139"/>
    </row>
    <row r="1518" spans="19:23" ht="12.75">
      <c r="S1518" s="140"/>
      <c r="T1518" s="47" t="s">
        <v>4388</v>
      </c>
      <c r="U1518" s="47" t="s">
        <v>2939</v>
      </c>
      <c r="V1518" s="141">
        <v>351521</v>
      </c>
      <c r="W1518" s="139"/>
    </row>
    <row r="1519" spans="19:23" ht="12.75">
      <c r="S1519" s="140"/>
      <c r="T1519" s="47" t="s">
        <v>4385</v>
      </c>
      <c r="U1519" s="47" t="s">
        <v>2936</v>
      </c>
      <c r="V1519" s="141">
        <v>358738</v>
      </c>
      <c r="W1519" s="139"/>
    </row>
    <row r="1520" spans="19:23" ht="12.75">
      <c r="S1520" s="140"/>
      <c r="T1520" s="47" t="s">
        <v>4394</v>
      </c>
      <c r="U1520" s="47" t="s">
        <v>3696</v>
      </c>
      <c r="V1520" s="141">
        <v>375729</v>
      </c>
      <c r="W1520" s="139"/>
    </row>
    <row r="1521" spans="19:23" ht="12.75">
      <c r="S1521" s="140"/>
      <c r="T1521" s="47" t="s">
        <v>4391</v>
      </c>
      <c r="U1521" s="47" t="s">
        <v>1416</v>
      </c>
      <c r="V1521" s="141">
        <v>382947</v>
      </c>
      <c r="W1521" s="139"/>
    </row>
    <row r="1522" spans="19:23" ht="12.75">
      <c r="S1522" s="140"/>
      <c r="T1522" s="47" t="s">
        <v>4380</v>
      </c>
      <c r="U1522" s="47" t="s">
        <v>2931</v>
      </c>
      <c r="V1522" s="141">
        <v>350422</v>
      </c>
      <c r="W1522" s="139"/>
    </row>
    <row r="1523" spans="19:23" ht="12.75">
      <c r="S1523" s="140"/>
      <c r="T1523" s="47" t="s">
        <v>4386</v>
      </c>
      <c r="U1523" s="47" t="s">
        <v>2937</v>
      </c>
      <c r="V1523" s="141">
        <v>356053</v>
      </c>
      <c r="W1523" s="139"/>
    </row>
    <row r="1524" spans="19:23" ht="12.75">
      <c r="S1524" s="140"/>
      <c r="T1524" s="47" t="s">
        <v>4383</v>
      </c>
      <c r="U1524" s="47" t="s">
        <v>2934</v>
      </c>
      <c r="V1524" s="141">
        <v>363270</v>
      </c>
      <c r="W1524" s="139"/>
    </row>
    <row r="1525" spans="19:23" ht="12.75">
      <c r="S1525" s="140"/>
      <c r="T1525" s="47" t="s">
        <v>4392</v>
      </c>
      <c r="U1525" s="47" t="s">
        <v>1372</v>
      </c>
      <c r="V1525" s="141">
        <v>380262</v>
      </c>
      <c r="W1525" s="139"/>
    </row>
    <row r="1526" spans="19:23" ht="12.75">
      <c r="S1526" s="140"/>
      <c r="T1526" s="47" t="s">
        <v>4389</v>
      </c>
      <c r="U1526" s="47" t="s">
        <v>2940</v>
      </c>
      <c r="V1526" s="141">
        <v>387479</v>
      </c>
      <c r="W1526" s="139"/>
    </row>
    <row r="1527" spans="19:23" ht="12.75">
      <c r="S1527" s="140"/>
      <c r="T1527" s="47" t="s">
        <v>4396</v>
      </c>
      <c r="U1527" s="47" t="s">
        <v>3698</v>
      </c>
      <c r="V1527" s="141">
        <v>351397</v>
      </c>
      <c r="W1527" s="139"/>
    </row>
    <row r="1528" spans="19:23" ht="12.75">
      <c r="S1528" s="140"/>
      <c r="T1528" s="47" t="s">
        <v>4402</v>
      </c>
      <c r="U1528" s="47" t="s">
        <v>1382</v>
      </c>
      <c r="V1528" s="141">
        <v>357028</v>
      </c>
      <c r="W1528" s="139"/>
    </row>
    <row r="1529" spans="19:23" ht="12.75">
      <c r="S1529" s="140"/>
      <c r="T1529" s="47" t="s">
        <v>4399</v>
      </c>
      <c r="U1529" s="47" t="s">
        <v>3701</v>
      </c>
      <c r="V1529" s="141">
        <v>364245</v>
      </c>
      <c r="W1529" s="139"/>
    </row>
    <row r="1530" spans="19:23" ht="12.75">
      <c r="S1530" s="140"/>
      <c r="T1530" s="47" t="s">
        <v>4408</v>
      </c>
      <c r="U1530" s="47" t="s">
        <v>4479</v>
      </c>
      <c r="V1530" s="141">
        <v>381237</v>
      </c>
      <c r="W1530" s="139"/>
    </row>
    <row r="1531" spans="19:23" ht="12.75">
      <c r="S1531" s="140"/>
      <c r="T1531" s="47" t="s">
        <v>4405</v>
      </c>
      <c r="U1531" s="47" t="s">
        <v>1385</v>
      </c>
      <c r="V1531" s="141">
        <v>388453</v>
      </c>
      <c r="W1531" s="139"/>
    </row>
    <row r="1532" spans="19:23" ht="12.75">
      <c r="S1532" s="140"/>
      <c r="T1532" s="47" t="s">
        <v>1942</v>
      </c>
      <c r="U1532" s="47" t="s">
        <v>1943</v>
      </c>
      <c r="V1532" s="141">
        <v>478433</v>
      </c>
      <c r="W1532" s="139"/>
    </row>
    <row r="1533" spans="19:23" ht="12.75">
      <c r="S1533" s="140"/>
      <c r="T1533" s="47" t="s">
        <v>4397</v>
      </c>
      <c r="U1533" s="47" t="s">
        <v>3699</v>
      </c>
      <c r="V1533" s="141">
        <v>382507</v>
      </c>
      <c r="W1533" s="139"/>
    </row>
    <row r="1534" spans="19:23" ht="12.75">
      <c r="S1534" s="140"/>
      <c r="T1534" s="47" t="s">
        <v>4403</v>
      </c>
      <c r="U1534" s="47" t="s">
        <v>1383</v>
      </c>
      <c r="V1534" s="141">
        <v>388138</v>
      </c>
      <c r="W1534" s="139"/>
    </row>
    <row r="1535" spans="19:23" ht="12.75">
      <c r="S1535" s="140"/>
      <c r="T1535" s="47" t="s">
        <v>4400</v>
      </c>
      <c r="U1535" s="47" t="s">
        <v>3702</v>
      </c>
      <c r="V1535" s="141">
        <v>395355</v>
      </c>
      <c r="W1535" s="139"/>
    </row>
    <row r="1536" spans="19:23" ht="12.75">
      <c r="S1536" s="140"/>
      <c r="T1536" s="47" t="s">
        <v>4409</v>
      </c>
      <c r="U1536" s="47" t="s">
        <v>4480</v>
      </c>
      <c r="V1536" s="141">
        <v>412346</v>
      </c>
      <c r="W1536" s="139"/>
    </row>
    <row r="1537" spans="19:23" ht="12.75">
      <c r="S1537" s="140"/>
      <c r="T1537" s="47" t="s">
        <v>4406</v>
      </c>
      <c r="U1537" s="47" t="s">
        <v>1386</v>
      </c>
      <c r="V1537" s="141">
        <v>419563</v>
      </c>
      <c r="W1537" s="139"/>
    </row>
    <row r="1538" spans="19:23" ht="12.75">
      <c r="S1538" s="140"/>
      <c r="T1538" s="47" t="s">
        <v>4395</v>
      </c>
      <c r="U1538" s="47" t="s">
        <v>3697</v>
      </c>
      <c r="V1538" s="141">
        <v>387039</v>
      </c>
      <c r="W1538" s="139"/>
    </row>
    <row r="1539" spans="19:23" ht="12.75">
      <c r="S1539" s="140"/>
      <c r="T1539" s="47" t="s">
        <v>4401</v>
      </c>
      <c r="U1539" s="47" t="s">
        <v>1381</v>
      </c>
      <c r="V1539" s="141">
        <v>392669</v>
      </c>
      <c r="W1539" s="139"/>
    </row>
    <row r="1540" spans="19:23" ht="12.75">
      <c r="S1540" s="140"/>
      <c r="T1540" s="47" t="s">
        <v>4398</v>
      </c>
      <c r="U1540" s="47" t="s">
        <v>3700</v>
      </c>
      <c r="V1540" s="141">
        <v>399885</v>
      </c>
      <c r="W1540" s="139"/>
    </row>
    <row r="1541" spans="19:23" ht="12.75">
      <c r="S1541" s="140"/>
      <c r="T1541" s="47" t="s">
        <v>4407</v>
      </c>
      <c r="U1541" s="47" t="s">
        <v>4478</v>
      </c>
      <c r="V1541" s="141">
        <v>416877</v>
      </c>
      <c r="W1541" s="139"/>
    </row>
    <row r="1542" spans="19:23" ht="12.75">
      <c r="S1542" s="140"/>
      <c r="T1542" s="47" t="s">
        <v>4404</v>
      </c>
      <c r="U1542" s="47" t="s">
        <v>1384</v>
      </c>
      <c r="V1542" s="141">
        <v>424095</v>
      </c>
      <c r="W1542" s="139"/>
    </row>
    <row r="1543" spans="19:23" ht="12.75">
      <c r="S1543" s="140"/>
      <c r="T1543" s="47" t="s">
        <v>4410</v>
      </c>
      <c r="U1543" s="47" t="s">
        <v>4481</v>
      </c>
      <c r="V1543" s="141">
        <v>326498</v>
      </c>
      <c r="W1543" s="139"/>
    </row>
    <row r="1544" spans="19:23" ht="12.75">
      <c r="S1544" s="140"/>
      <c r="T1544" s="47" t="s">
        <v>4412</v>
      </c>
      <c r="U1544" s="47" t="s">
        <v>1392</v>
      </c>
      <c r="V1544" s="141">
        <v>332128</v>
      </c>
      <c r="W1544" s="139"/>
    </row>
    <row r="1545" spans="19:23" ht="12.75">
      <c r="S1545" s="140"/>
      <c r="T1545" s="47" t="s">
        <v>4411</v>
      </c>
      <c r="U1545" s="47" t="s">
        <v>1391</v>
      </c>
      <c r="V1545" s="141">
        <v>339346</v>
      </c>
      <c r="W1545" s="139"/>
    </row>
    <row r="1546" spans="19:23" ht="12.75">
      <c r="S1546" s="140"/>
      <c r="T1546" s="47" t="s">
        <v>4414</v>
      </c>
      <c r="U1546" s="47" t="s">
        <v>1394</v>
      </c>
      <c r="V1546" s="141">
        <v>356337</v>
      </c>
      <c r="W1546" s="139"/>
    </row>
    <row r="1547" spans="19:23" ht="12.75">
      <c r="S1547" s="140"/>
      <c r="T1547" s="47" t="s">
        <v>4413</v>
      </c>
      <c r="U1547" s="47" t="s">
        <v>1393</v>
      </c>
      <c r="V1547" s="141">
        <v>363556</v>
      </c>
      <c r="W1547" s="139"/>
    </row>
    <row r="1548" spans="19:23" ht="12.75">
      <c r="S1548" s="140"/>
      <c r="T1548" s="47" t="s">
        <v>1944</v>
      </c>
      <c r="U1548" s="47" t="s">
        <v>1945</v>
      </c>
      <c r="V1548" s="141">
        <v>453535</v>
      </c>
      <c r="W1548" s="139"/>
    </row>
    <row r="1549" spans="19:23" ht="12.75">
      <c r="S1549" s="140"/>
      <c r="T1549" s="47" t="s">
        <v>4415</v>
      </c>
      <c r="U1549" s="47" t="s">
        <v>2039</v>
      </c>
      <c r="V1549" s="141">
        <v>376806</v>
      </c>
      <c r="W1549" s="139"/>
    </row>
    <row r="1550" spans="19:23" ht="12.75">
      <c r="S1550" s="140"/>
      <c r="T1550" s="47" t="s">
        <v>4417</v>
      </c>
      <c r="U1550" s="47" t="s">
        <v>2041</v>
      </c>
      <c r="V1550" s="141">
        <v>382437</v>
      </c>
      <c r="W1550" s="139"/>
    </row>
    <row r="1551" spans="19:23" ht="12.75">
      <c r="S1551" s="140"/>
      <c r="T1551" s="47" t="s">
        <v>4416</v>
      </c>
      <c r="U1551" s="47" t="s">
        <v>2040</v>
      </c>
      <c r="V1551" s="141">
        <v>389653</v>
      </c>
      <c r="W1551" s="139"/>
    </row>
    <row r="1552" spans="19:23" ht="12.75">
      <c r="S1552" s="140"/>
      <c r="T1552" s="47" t="s">
        <v>4419</v>
      </c>
      <c r="U1552" s="47" t="s">
        <v>2619</v>
      </c>
      <c r="V1552" s="141">
        <v>406646</v>
      </c>
      <c r="W1552" s="139"/>
    </row>
    <row r="1553" spans="19:23" ht="12.75">
      <c r="S1553" s="140"/>
      <c r="T1553" s="47" t="s">
        <v>4418</v>
      </c>
      <c r="U1553" s="47" t="s">
        <v>2042</v>
      </c>
      <c r="V1553" s="141">
        <v>413862</v>
      </c>
      <c r="W1553" s="139"/>
    </row>
    <row r="1554" spans="19:23" ht="12.75">
      <c r="S1554" s="140"/>
      <c r="T1554" s="47" t="s">
        <v>1946</v>
      </c>
      <c r="U1554" s="47" t="s">
        <v>1947</v>
      </c>
      <c r="V1554" s="141">
        <v>503842</v>
      </c>
      <c r="W1554" s="139"/>
    </row>
    <row r="1555" spans="19:23" ht="12.75">
      <c r="S1555" s="140"/>
      <c r="T1555" s="47" t="s">
        <v>4420</v>
      </c>
      <c r="U1555" s="47" t="s">
        <v>2620</v>
      </c>
      <c r="V1555" s="141">
        <v>412175</v>
      </c>
      <c r="W1555" s="139"/>
    </row>
    <row r="1556" spans="19:23" ht="12.75">
      <c r="S1556" s="140"/>
      <c r="T1556" s="47" t="s">
        <v>4422</v>
      </c>
      <c r="U1556" s="47" t="s">
        <v>2622</v>
      </c>
      <c r="V1556" s="141">
        <v>417806</v>
      </c>
      <c r="W1556" s="139"/>
    </row>
    <row r="1557" spans="19:23" ht="12.75">
      <c r="S1557" s="140"/>
      <c r="T1557" s="47" t="s">
        <v>4421</v>
      </c>
      <c r="U1557" s="47" t="s">
        <v>2621</v>
      </c>
      <c r="V1557" s="141">
        <v>425022</v>
      </c>
      <c r="W1557" s="139"/>
    </row>
    <row r="1558" spans="19:23" ht="12.75">
      <c r="S1558" s="140"/>
      <c r="T1558" s="47" t="s">
        <v>4424</v>
      </c>
      <c r="U1558" s="47" t="s">
        <v>1404</v>
      </c>
      <c r="V1558" s="141">
        <v>442015</v>
      </c>
      <c r="W1558" s="139"/>
    </row>
    <row r="1559" spans="19:23" ht="12.75">
      <c r="S1559" s="140"/>
      <c r="T1559" s="47" t="s">
        <v>4423</v>
      </c>
      <c r="U1559" s="47" t="s">
        <v>1403</v>
      </c>
      <c r="V1559" s="141">
        <v>449231</v>
      </c>
      <c r="W1559" s="139"/>
    </row>
    <row r="1560" spans="19:23" ht="12.75">
      <c r="S1560" s="140"/>
      <c r="T1560" s="47" t="s">
        <v>1948</v>
      </c>
      <c r="U1560" s="47" t="s">
        <v>1949</v>
      </c>
      <c r="V1560" s="141">
        <v>539210</v>
      </c>
      <c r="W1560" s="139"/>
    </row>
    <row r="1561" spans="19:23" ht="12.75">
      <c r="S1561" s="140"/>
      <c r="T1561" s="47" t="s">
        <v>2366</v>
      </c>
      <c r="U1561" s="47" t="s">
        <v>2143</v>
      </c>
      <c r="V1561" s="141">
        <v>62108</v>
      </c>
      <c r="W1561" s="337"/>
    </row>
    <row r="1562" spans="19:23" ht="12.75">
      <c r="S1562" s="140"/>
      <c r="T1562" s="47" t="s">
        <v>2367</v>
      </c>
      <c r="U1562" s="47" t="s">
        <v>2144</v>
      </c>
      <c r="V1562" s="141">
        <v>93217</v>
      </c>
      <c r="W1562" s="337"/>
    </row>
    <row r="1563" spans="19:23" ht="12.75">
      <c r="S1563" s="140"/>
      <c r="T1563" s="47" t="s">
        <v>2364</v>
      </c>
      <c r="U1563" s="47" t="s">
        <v>2141</v>
      </c>
      <c r="V1563" s="141">
        <v>97747</v>
      </c>
      <c r="W1563" s="337"/>
    </row>
    <row r="1564" spans="19:23" ht="12.75">
      <c r="S1564" s="140"/>
      <c r="T1564" s="47" t="s">
        <v>2365</v>
      </c>
      <c r="U1564" s="47" t="s">
        <v>2142</v>
      </c>
      <c r="V1564" s="141">
        <v>62108</v>
      </c>
      <c r="W1564" s="337"/>
    </row>
    <row r="1565" spans="19:23" ht="12.75">
      <c r="S1565" s="140"/>
      <c r="T1565" s="47" t="s">
        <v>3513</v>
      </c>
      <c r="U1565" s="47" t="s">
        <v>3514</v>
      </c>
      <c r="V1565" s="141">
        <v>359752</v>
      </c>
      <c r="W1565" s="139"/>
    </row>
    <row r="1566" spans="19:23" ht="12.75">
      <c r="S1566" s="140"/>
      <c r="T1566" s="47" t="s">
        <v>3515</v>
      </c>
      <c r="U1566" s="47" t="s">
        <v>3516</v>
      </c>
      <c r="V1566" s="141">
        <v>366186</v>
      </c>
      <c r="W1566" s="139"/>
    </row>
    <row r="1567" spans="19:23" ht="12.75">
      <c r="S1567" s="140"/>
      <c r="T1567" s="47" t="s">
        <v>3517</v>
      </c>
      <c r="U1567" s="47" t="s">
        <v>3518</v>
      </c>
      <c r="V1567" s="141">
        <v>374433</v>
      </c>
      <c r="W1567" s="139"/>
    </row>
    <row r="1568" spans="19:23" ht="12.75">
      <c r="S1568" s="140"/>
      <c r="T1568" s="47" t="s">
        <v>3519</v>
      </c>
      <c r="U1568" s="47" t="s">
        <v>3520</v>
      </c>
      <c r="V1568" s="141">
        <v>393852</v>
      </c>
      <c r="W1568" s="139"/>
    </row>
    <row r="1569" spans="19:23" ht="12.75">
      <c r="S1569" s="140"/>
      <c r="T1569" s="47" t="s">
        <v>3521</v>
      </c>
      <c r="U1569" s="47" t="s">
        <v>1082</v>
      </c>
      <c r="V1569" s="141">
        <v>402101</v>
      </c>
      <c r="W1569" s="139"/>
    </row>
    <row r="1570" spans="19:23" ht="12.75">
      <c r="S1570" s="140"/>
      <c r="T1570" s="47" t="s">
        <v>1083</v>
      </c>
      <c r="U1570" s="47" t="s">
        <v>1084</v>
      </c>
      <c r="V1570" s="141">
        <v>492080</v>
      </c>
      <c r="W1570" s="139"/>
    </row>
    <row r="1571" spans="19:23" ht="12.75">
      <c r="S1571" s="140"/>
      <c r="T1571" s="47" t="s">
        <v>1085</v>
      </c>
      <c r="U1571" s="47" t="s">
        <v>1086</v>
      </c>
      <c r="V1571" s="141">
        <v>430634</v>
      </c>
      <c r="W1571" s="139"/>
    </row>
    <row r="1572" spans="19:23" ht="12.75">
      <c r="S1572" s="140"/>
      <c r="T1572" s="47" t="s">
        <v>1087</v>
      </c>
      <c r="U1572" s="47" t="s">
        <v>1088</v>
      </c>
      <c r="V1572" s="141">
        <v>437071</v>
      </c>
      <c r="W1572" s="139"/>
    </row>
    <row r="1573" spans="19:23" ht="12.75">
      <c r="S1573" s="140"/>
      <c r="T1573" s="47" t="s">
        <v>1089</v>
      </c>
      <c r="U1573" s="47" t="s">
        <v>1090</v>
      </c>
      <c r="V1573" s="141">
        <v>445318</v>
      </c>
      <c r="W1573" s="139"/>
    </row>
    <row r="1574" spans="19:23" ht="12.75">
      <c r="S1574" s="140"/>
      <c r="T1574" s="47" t="s">
        <v>1091</v>
      </c>
      <c r="U1574" s="47" t="s">
        <v>1092</v>
      </c>
      <c r="V1574" s="141">
        <v>464738</v>
      </c>
      <c r="W1574" s="139"/>
    </row>
    <row r="1575" spans="19:23" ht="12.75">
      <c r="S1575" s="140"/>
      <c r="T1575" s="47" t="s">
        <v>1093</v>
      </c>
      <c r="U1575" s="47" t="s">
        <v>1094</v>
      </c>
      <c r="V1575" s="141">
        <v>472986</v>
      </c>
      <c r="W1575" s="139"/>
    </row>
    <row r="1576" spans="19:23" ht="12.75">
      <c r="S1576" s="140"/>
      <c r="T1576" s="47" t="s">
        <v>1095</v>
      </c>
      <c r="U1576" s="47" t="s">
        <v>1096</v>
      </c>
      <c r="V1576" s="141">
        <v>562966</v>
      </c>
      <c r="W1576" s="139"/>
    </row>
    <row r="1577" spans="19:23" ht="12.75">
      <c r="S1577" s="140"/>
      <c r="T1577" s="47" t="s">
        <v>1097</v>
      </c>
      <c r="U1577" s="47" t="s">
        <v>1098</v>
      </c>
      <c r="V1577" s="141">
        <v>70981</v>
      </c>
      <c r="W1577" s="139"/>
    </row>
    <row r="1578" spans="19:23" ht="12.75">
      <c r="S1578" s="140"/>
      <c r="T1578" s="47" t="s">
        <v>1099</v>
      </c>
      <c r="U1578" s="47" t="s">
        <v>1100</v>
      </c>
      <c r="V1578" s="141">
        <v>106534</v>
      </c>
      <c r="W1578" s="139"/>
    </row>
    <row r="1579" spans="19:23" ht="12.75">
      <c r="S1579" s="140"/>
      <c r="T1579" s="47" t="s">
        <v>1101</v>
      </c>
      <c r="U1579" s="47" t="s">
        <v>1102</v>
      </c>
      <c r="V1579" s="141">
        <v>111711</v>
      </c>
      <c r="W1579" s="139"/>
    </row>
    <row r="1580" spans="19:23" ht="12.75">
      <c r="S1580" s="140"/>
      <c r="T1580" s="47" t="s">
        <v>1103</v>
      </c>
      <c r="U1580" s="47" t="s">
        <v>1104</v>
      </c>
      <c r="V1580" s="141">
        <v>70981</v>
      </c>
      <c r="W1580" s="139"/>
    </row>
    <row r="1581" spans="19:23" ht="12.75">
      <c r="S1581" s="140"/>
      <c r="T1581" s="47" t="s">
        <v>1864</v>
      </c>
      <c r="U1581" s="47" t="s">
        <v>4279</v>
      </c>
      <c r="V1581" s="141">
        <v>77662</v>
      </c>
      <c r="W1581" s="139"/>
    </row>
    <row r="1582" spans="19:23" ht="12.75">
      <c r="S1582" s="140"/>
      <c r="T1582" s="47" t="s">
        <v>1863</v>
      </c>
      <c r="U1582" s="47" t="s">
        <v>4278</v>
      </c>
      <c r="V1582" s="141">
        <v>65776</v>
      </c>
      <c r="W1582" s="139"/>
    </row>
    <row r="1583" spans="19:23" ht="12.75">
      <c r="S1583" s="140"/>
      <c r="T1583" s="47" t="s">
        <v>1862</v>
      </c>
      <c r="U1583" s="47" t="s">
        <v>4277</v>
      </c>
      <c r="V1583" s="141">
        <v>71514</v>
      </c>
      <c r="W1583" s="139"/>
    </row>
    <row r="1584" spans="19:23" ht="12.75">
      <c r="S1584" s="140"/>
      <c r="T1584" s="47" t="s">
        <v>1861</v>
      </c>
      <c r="U1584" s="47" t="s">
        <v>4276</v>
      </c>
      <c r="V1584" s="141">
        <v>79970</v>
      </c>
      <c r="W1584" s="139"/>
    </row>
    <row r="1585" spans="19:23" ht="12.75">
      <c r="S1585" s="140"/>
      <c r="T1585" s="47" t="s">
        <v>1859</v>
      </c>
      <c r="U1585" s="47" t="s">
        <v>4274</v>
      </c>
      <c r="V1585" s="141">
        <v>54059</v>
      </c>
      <c r="W1585" s="139"/>
    </row>
    <row r="1586" spans="19:23" ht="12.75">
      <c r="S1586" s="140"/>
      <c r="T1586" s="47" t="s">
        <v>1858</v>
      </c>
      <c r="U1586" s="47" t="s">
        <v>4273</v>
      </c>
      <c r="V1586" s="141">
        <v>62108</v>
      </c>
      <c r="W1586" s="139"/>
    </row>
    <row r="1587" spans="19:23" ht="12.75">
      <c r="S1587" s="140"/>
      <c r="T1587" s="47" t="s">
        <v>1857</v>
      </c>
      <c r="U1587" s="47" t="s">
        <v>4272</v>
      </c>
      <c r="V1587" s="141">
        <v>65776</v>
      </c>
      <c r="W1587" s="139"/>
    </row>
    <row r="1588" spans="19:23" ht="12.75">
      <c r="S1588" s="140"/>
      <c r="T1588" s="47" t="s">
        <v>4981</v>
      </c>
      <c r="U1588" s="47" t="s">
        <v>4267</v>
      </c>
      <c r="V1588" s="141">
        <v>77663</v>
      </c>
      <c r="W1588" s="139"/>
    </row>
    <row r="1589" spans="19:23" ht="12.75">
      <c r="S1589" s="140"/>
      <c r="T1589" s="47" t="s">
        <v>4982</v>
      </c>
      <c r="U1589" s="47" t="s">
        <v>4268</v>
      </c>
      <c r="V1589" s="141">
        <v>79207</v>
      </c>
      <c r="W1589" s="139"/>
    </row>
    <row r="1590" spans="19:23" ht="12.75">
      <c r="S1590" s="140"/>
      <c r="T1590" s="47" t="s">
        <v>4983</v>
      </c>
      <c r="U1590" s="47" t="s">
        <v>4269</v>
      </c>
      <c r="V1590" s="141">
        <v>95482</v>
      </c>
      <c r="W1590" s="139"/>
    </row>
    <row r="1591" spans="19:23" ht="12.75">
      <c r="S1591" s="140"/>
      <c r="T1591" s="47" t="s">
        <v>4984</v>
      </c>
      <c r="U1591" s="47" t="s">
        <v>4270</v>
      </c>
      <c r="V1591" s="141">
        <v>65776</v>
      </c>
      <c r="W1591" s="139"/>
    </row>
    <row r="1592" spans="19:23" ht="12.75">
      <c r="S1592" s="140"/>
      <c r="T1592" s="47" t="s">
        <v>4985</v>
      </c>
      <c r="U1592" s="47" t="s">
        <v>4271</v>
      </c>
      <c r="V1592" s="141">
        <v>77663</v>
      </c>
      <c r="W1592" s="139"/>
    </row>
    <row r="1593" spans="19:23" ht="12.75">
      <c r="S1593" s="140"/>
      <c r="T1593" s="47" t="s">
        <v>1870</v>
      </c>
      <c r="U1593" s="47" t="s">
        <v>4285</v>
      </c>
      <c r="V1593" s="141">
        <v>79970</v>
      </c>
      <c r="W1593" s="139"/>
    </row>
    <row r="1594" spans="19:23" ht="12.75">
      <c r="S1594" s="140"/>
      <c r="T1594" s="47" t="s">
        <v>1860</v>
      </c>
      <c r="U1594" s="47" t="s">
        <v>4275</v>
      </c>
      <c r="V1594" s="141">
        <v>71514</v>
      </c>
      <c r="W1594" s="139"/>
    </row>
    <row r="1595" spans="19:23" ht="12.75">
      <c r="S1595" s="140"/>
      <c r="T1595" s="47" t="s">
        <v>1872</v>
      </c>
      <c r="U1595" s="47" t="s">
        <v>4287</v>
      </c>
      <c r="V1595" s="141">
        <v>79207</v>
      </c>
      <c r="W1595" s="139"/>
    </row>
    <row r="1596" spans="19:23" ht="12.75">
      <c r="S1596" s="140"/>
      <c r="T1596" s="47" t="s">
        <v>1874</v>
      </c>
      <c r="U1596" s="47" t="s">
        <v>4289</v>
      </c>
      <c r="V1596" s="141">
        <v>95482</v>
      </c>
      <c r="W1596" s="139"/>
    </row>
    <row r="1597" spans="19:23" ht="12.75">
      <c r="S1597" s="140"/>
      <c r="T1597" s="47" t="s">
        <v>1875</v>
      </c>
      <c r="U1597" s="47" t="s">
        <v>4290</v>
      </c>
      <c r="V1597" s="141">
        <v>71514</v>
      </c>
      <c r="W1597" s="139"/>
    </row>
    <row r="1598" spans="19:23" ht="12.75">
      <c r="S1598" s="140"/>
      <c r="T1598" s="47" t="s">
        <v>1871</v>
      </c>
      <c r="U1598" s="47" t="s">
        <v>4286</v>
      </c>
      <c r="V1598" s="141">
        <v>79970</v>
      </c>
      <c r="W1598" s="139"/>
    </row>
    <row r="1599" spans="19:23" ht="12.75">
      <c r="S1599" s="140"/>
      <c r="T1599" s="47" t="s">
        <v>1865</v>
      </c>
      <c r="U1599" s="47" t="s">
        <v>4280</v>
      </c>
      <c r="V1599" s="141">
        <v>54059</v>
      </c>
      <c r="W1599" s="139"/>
    </row>
    <row r="1600" spans="19:23" ht="12.75">
      <c r="S1600" s="140"/>
      <c r="T1600" s="47" t="s">
        <v>1873</v>
      </c>
      <c r="U1600" s="47" t="s">
        <v>4288</v>
      </c>
      <c r="V1600" s="141">
        <v>62108</v>
      </c>
      <c r="W1600" s="139"/>
    </row>
    <row r="1601" spans="19:23" ht="12.75">
      <c r="S1601" s="140"/>
      <c r="T1601" s="47" t="s">
        <v>1869</v>
      </c>
      <c r="U1601" s="47" t="s">
        <v>4284</v>
      </c>
      <c r="V1601" s="141">
        <v>65776</v>
      </c>
      <c r="W1601" s="139"/>
    </row>
    <row r="1602" spans="19:23" ht="12.75">
      <c r="S1602" s="140"/>
      <c r="T1602" s="47" t="s">
        <v>1868</v>
      </c>
      <c r="U1602" s="47" t="s">
        <v>4283</v>
      </c>
      <c r="V1602" s="141">
        <v>77663</v>
      </c>
      <c r="W1602" s="139"/>
    </row>
    <row r="1603" spans="19:23" ht="12.75">
      <c r="S1603" s="140"/>
      <c r="T1603" s="47" t="s">
        <v>1867</v>
      </c>
      <c r="U1603" s="47" t="s">
        <v>4282</v>
      </c>
      <c r="V1603" s="141">
        <v>71514</v>
      </c>
      <c r="W1603" s="139"/>
    </row>
    <row r="1604" spans="19:23" ht="12.75">
      <c r="S1604" s="140"/>
      <c r="T1604" s="47" t="s">
        <v>1866</v>
      </c>
      <c r="U1604" s="47" t="s">
        <v>4281</v>
      </c>
      <c r="V1604" s="141">
        <v>79970</v>
      </c>
      <c r="W1604" s="139"/>
    </row>
    <row r="1605" spans="19:23" ht="12.75">
      <c r="S1605" s="140"/>
      <c r="T1605" s="47" t="s">
        <v>4426</v>
      </c>
      <c r="U1605" s="47" t="s">
        <v>1407</v>
      </c>
      <c r="V1605" s="141">
        <v>521698</v>
      </c>
      <c r="W1605" s="139"/>
    </row>
    <row r="1606" spans="19:23" ht="12.75">
      <c r="S1606" s="140"/>
      <c r="T1606" s="47" t="s">
        <v>4432</v>
      </c>
      <c r="U1606" s="47" t="s">
        <v>1413</v>
      </c>
      <c r="V1606" s="141">
        <v>527328</v>
      </c>
      <c r="W1606" s="139"/>
    </row>
    <row r="1607" spans="19:23" ht="12.75">
      <c r="S1607" s="140"/>
      <c r="T1607" s="47" t="s">
        <v>4429</v>
      </c>
      <c r="U1607" s="47" t="s">
        <v>1410</v>
      </c>
      <c r="V1607" s="141">
        <v>534546</v>
      </c>
      <c r="W1607" s="139"/>
    </row>
    <row r="1608" spans="19:23" ht="12.75">
      <c r="S1608" s="140"/>
      <c r="T1608" s="47" t="s">
        <v>4438</v>
      </c>
      <c r="U1608" s="47" t="s">
        <v>4896</v>
      </c>
      <c r="V1608" s="141">
        <v>551538</v>
      </c>
      <c r="W1608" s="139"/>
    </row>
    <row r="1609" spans="19:23" ht="12.75">
      <c r="S1609" s="140"/>
      <c r="T1609" s="47" t="s">
        <v>4435</v>
      </c>
      <c r="U1609" s="47" t="s">
        <v>4893</v>
      </c>
      <c r="V1609" s="141">
        <v>558755</v>
      </c>
      <c r="W1609" s="139"/>
    </row>
    <row r="1610" spans="19:23" ht="12.75">
      <c r="S1610" s="140"/>
      <c r="T1610" s="47" t="s">
        <v>1950</v>
      </c>
      <c r="U1610" s="47" t="s">
        <v>1951</v>
      </c>
      <c r="V1610" s="141">
        <v>648735</v>
      </c>
      <c r="W1610" s="139"/>
    </row>
    <row r="1611" spans="19:23" ht="12.75">
      <c r="S1611" s="140"/>
      <c r="T1611" s="47" t="s">
        <v>4427</v>
      </c>
      <c r="U1611" s="47" t="s">
        <v>1408</v>
      </c>
      <c r="V1611" s="141">
        <v>552357</v>
      </c>
      <c r="W1611" s="139"/>
    </row>
    <row r="1612" spans="19:23" ht="12.75">
      <c r="S1612" s="140"/>
      <c r="T1612" s="47" t="s">
        <v>4433</v>
      </c>
      <c r="U1612" s="47" t="s">
        <v>1414</v>
      </c>
      <c r="V1612" s="141">
        <v>557989</v>
      </c>
      <c r="W1612" s="139"/>
    </row>
    <row r="1613" spans="19:23" ht="12.75">
      <c r="S1613" s="140"/>
      <c r="T1613" s="47" t="s">
        <v>4430</v>
      </c>
      <c r="U1613" s="47" t="s">
        <v>1411</v>
      </c>
      <c r="V1613" s="141">
        <v>565205</v>
      </c>
      <c r="W1613" s="139"/>
    </row>
    <row r="1614" spans="19:23" ht="12.75">
      <c r="S1614" s="140"/>
      <c r="T1614" s="47" t="s">
        <v>4439</v>
      </c>
      <c r="U1614" s="47" t="s">
        <v>4897</v>
      </c>
      <c r="V1614" s="141">
        <v>582199</v>
      </c>
      <c r="W1614" s="139"/>
    </row>
    <row r="1615" spans="19:23" ht="12.75">
      <c r="S1615" s="140"/>
      <c r="T1615" s="47" t="s">
        <v>4436</v>
      </c>
      <c r="U1615" s="47" t="s">
        <v>4894</v>
      </c>
      <c r="V1615" s="141">
        <v>589415</v>
      </c>
      <c r="W1615" s="139"/>
    </row>
    <row r="1616" spans="19:23" ht="12.75">
      <c r="S1616" s="140"/>
      <c r="T1616" s="47" t="s">
        <v>4425</v>
      </c>
      <c r="U1616" s="47" t="s">
        <v>1405</v>
      </c>
      <c r="V1616" s="141">
        <v>555787</v>
      </c>
      <c r="W1616" s="139"/>
    </row>
    <row r="1617" spans="19:23" ht="12.75">
      <c r="S1617" s="140"/>
      <c r="T1617" s="47" t="s">
        <v>4431</v>
      </c>
      <c r="U1617" s="47" t="s">
        <v>1412</v>
      </c>
      <c r="V1617" s="141">
        <v>561419</v>
      </c>
      <c r="W1617" s="139"/>
    </row>
    <row r="1618" spans="19:23" ht="12.75">
      <c r="S1618" s="140"/>
      <c r="T1618" s="47" t="s">
        <v>4428</v>
      </c>
      <c r="U1618" s="47" t="s">
        <v>1409</v>
      </c>
      <c r="V1618" s="141">
        <v>568635</v>
      </c>
      <c r="W1618" s="139"/>
    </row>
    <row r="1619" spans="19:23" ht="12.75">
      <c r="S1619" s="140"/>
      <c r="T1619" s="47" t="s">
        <v>4437</v>
      </c>
      <c r="U1619" s="47" t="s">
        <v>4895</v>
      </c>
      <c r="V1619" s="141">
        <v>585627</v>
      </c>
      <c r="W1619" s="139"/>
    </row>
    <row r="1620" spans="19:23" ht="12.75">
      <c r="S1620" s="140"/>
      <c r="T1620" s="47" t="s">
        <v>4434</v>
      </c>
      <c r="U1620" s="47" t="s">
        <v>4892</v>
      </c>
      <c r="V1620" s="141">
        <v>592843</v>
      </c>
      <c r="W1620" s="139"/>
    </row>
    <row r="1621" spans="19:23" ht="12.75">
      <c r="S1621" s="140"/>
      <c r="T1621" s="47" t="s">
        <v>4441</v>
      </c>
      <c r="U1621" s="47" t="s">
        <v>4174</v>
      </c>
      <c r="V1621" s="141">
        <v>549156</v>
      </c>
      <c r="W1621" s="139"/>
    </row>
    <row r="1622" spans="19:23" ht="12.75">
      <c r="S1622" s="140"/>
      <c r="T1622" s="47" t="s">
        <v>4447</v>
      </c>
      <c r="U1622" s="47" t="s">
        <v>3522</v>
      </c>
      <c r="V1622" s="141">
        <v>554786</v>
      </c>
      <c r="W1622" s="139"/>
    </row>
    <row r="1623" spans="19:23" ht="12.75">
      <c r="S1623" s="140"/>
      <c r="T1623" s="47" t="s">
        <v>4444</v>
      </c>
      <c r="U1623" s="47" t="s">
        <v>4177</v>
      </c>
      <c r="V1623" s="141">
        <v>562003</v>
      </c>
      <c r="W1623" s="139"/>
    </row>
    <row r="1624" spans="19:23" ht="12.75">
      <c r="S1624" s="140"/>
      <c r="T1624" s="47" t="s">
        <v>4453</v>
      </c>
      <c r="U1624" s="47" t="s">
        <v>3528</v>
      </c>
      <c r="V1624" s="141">
        <v>578994</v>
      </c>
      <c r="W1624" s="139"/>
    </row>
    <row r="1625" spans="19:23" ht="12.75">
      <c r="S1625" s="140"/>
      <c r="T1625" s="47" t="s">
        <v>4450</v>
      </c>
      <c r="U1625" s="47" t="s">
        <v>3525</v>
      </c>
      <c r="V1625" s="141">
        <v>586213</v>
      </c>
      <c r="W1625" s="139"/>
    </row>
    <row r="1626" spans="19:23" ht="12.75">
      <c r="S1626" s="140"/>
      <c r="T1626" s="47" t="s">
        <v>1952</v>
      </c>
      <c r="U1626" s="47" t="s">
        <v>1953</v>
      </c>
      <c r="V1626" s="141">
        <v>676192</v>
      </c>
      <c r="W1626" s="139"/>
    </row>
    <row r="1627" spans="19:23" ht="12.75">
      <c r="S1627" s="140"/>
      <c r="T1627" s="47" t="s">
        <v>4442</v>
      </c>
      <c r="U1627" s="47" t="s">
        <v>4175</v>
      </c>
      <c r="V1627" s="141">
        <v>579816</v>
      </c>
      <c r="W1627" s="139"/>
    </row>
    <row r="1628" spans="19:23" ht="12.75">
      <c r="S1628" s="140"/>
      <c r="T1628" s="47" t="s">
        <v>4448</v>
      </c>
      <c r="U1628" s="47" t="s">
        <v>3523</v>
      </c>
      <c r="V1628" s="141">
        <v>585447</v>
      </c>
      <c r="W1628" s="139"/>
    </row>
    <row r="1629" spans="19:23" ht="12.75">
      <c r="S1629" s="140"/>
      <c r="T1629" s="47" t="s">
        <v>4445</v>
      </c>
      <c r="U1629" s="47" t="s">
        <v>4178</v>
      </c>
      <c r="V1629" s="141">
        <v>592664</v>
      </c>
      <c r="W1629" s="139"/>
    </row>
    <row r="1630" spans="19:23" ht="12.75">
      <c r="S1630" s="140"/>
      <c r="T1630" s="47" t="s">
        <v>4454</v>
      </c>
      <c r="U1630" s="47" t="s">
        <v>3529</v>
      </c>
      <c r="V1630" s="141">
        <v>609655</v>
      </c>
      <c r="W1630" s="139"/>
    </row>
    <row r="1631" spans="19:23" ht="12.75">
      <c r="S1631" s="140"/>
      <c r="T1631" s="47" t="s">
        <v>4451</v>
      </c>
      <c r="U1631" s="47" t="s">
        <v>3526</v>
      </c>
      <c r="V1631" s="141">
        <v>616873</v>
      </c>
      <c r="W1631" s="139"/>
    </row>
    <row r="1632" spans="19:23" ht="12.75">
      <c r="S1632" s="140"/>
      <c r="T1632" s="47" t="s">
        <v>4440</v>
      </c>
      <c r="U1632" s="47" t="s">
        <v>4898</v>
      </c>
      <c r="V1632" s="141">
        <v>583245</v>
      </c>
      <c r="W1632" s="139"/>
    </row>
    <row r="1633" spans="19:23" ht="12.75">
      <c r="S1633" s="140"/>
      <c r="T1633" s="47" t="s">
        <v>4446</v>
      </c>
      <c r="U1633" s="47" t="s">
        <v>4179</v>
      </c>
      <c r="V1633" s="141">
        <v>588876</v>
      </c>
      <c r="W1633" s="139"/>
    </row>
    <row r="1634" spans="19:23" ht="12.75">
      <c r="S1634" s="140"/>
      <c r="T1634" s="47" t="s">
        <v>4443</v>
      </c>
      <c r="U1634" s="47" t="s">
        <v>4176</v>
      </c>
      <c r="V1634" s="141">
        <v>596093</v>
      </c>
      <c r="W1634" s="139"/>
    </row>
    <row r="1635" spans="19:23" ht="12.75">
      <c r="S1635" s="140"/>
      <c r="T1635" s="47" t="s">
        <v>4452</v>
      </c>
      <c r="U1635" s="47" t="s">
        <v>3527</v>
      </c>
      <c r="V1635" s="141">
        <v>613085</v>
      </c>
      <c r="W1635" s="139"/>
    </row>
    <row r="1636" spans="19:23" ht="12.75">
      <c r="S1636" s="140"/>
      <c r="T1636" s="47" t="s">
        <v>4449</v>
      </c>
      <c r="U1636" s="47" t="s">
        <v>3524</v>
      </c>
      <c r="V1636" s="141">
        <v>620302</v>
      </c>
      <c r="W1636" s="139"/>
    </row>
    <row r="1637" spans="19:23" ht="12.75">
      <c r="S1637" s="140"/>
      <c r="T1637" s="47" t="s">
        <v>4456</v>
      </c>
      <c r="U1637" s="47" t="s">
        <v>3532</v>
      </c>
      <c r="V1637" s="141">
        <v>478212</v>
      </c>
      <c r="W1637" s="139"/>
    </row>
    <row r="1638" spans="19:23" ht="12.75">
      <c r="S1638" s="140"/>
      <c r="T1638" s="47" t="s">
        <v>4462</v>
      </c>
      <c r="U1638" s="47" t="s">
        <v>3876</v>
      </c>
      <c r="V1638" s="141">
        <v>483841</v>
      </c>
      <c r="W1638" s="139"/>
    </row>
    <row r="1639" spans="19:23" ht="12.75">
      <c r="S1639" s="140"/>
      <c r="T1639" s="47" t="s">
        <v>4459</v>
      </c>
      <c r="U1639" s="47" t="s">
        <v>3873</v>
      </c>
      <c r="V1639" s="141">
        <v>491060</v>
      </c>
      <c r="W1639" s="139"/>
    </row>
    <row r="1640" spans="19:23" ht="12.75">
      <c r="S1640" s="140"/>
      <c r="T1640" s="47" t="s">
        <v>4468</v>
      </c>
      <c r="U1640" s="47" t="s">
        <v>3573</v>
      </c>
      <c r="V1640" s="141">
        <v>508051</v>
      </c>
      <c r="W1640" s="139"/>
    </row>
    <row r="1641" spans="19:23" ht="12.75">
      <c r="S1641" s="140"/>
      <c r="T1641" s="47" t="s">
        <v>4465</v>
      </c>
      <c r="U1641" s="47" t="s">
        <v>3879</v>
      </c>
      <c r="V1641" s="141">
        <v>515269</v>
      </c>
      <c r="W1641" s="139"/>
    </row>
    <row r="1642" spans="19:23" ht="12.75">
      <c r="S1642" s="140"/>
      <c r="T1642" s="47" t="s">
        <v>1954</v>
      </c>
      <c r="U1642" s="47" t="s">
        <v>1955</v>
      </c>
      <c r="V1642" s="141">
        <v>605248</v>
      </c>
      <c r="W1642" s="139"/>
    </row>
    <row r="1643" spans="19:23" ht="12.75">
      <c r="S1643" s="140"/>
      <c r="T1643" s="47" t="s">
        <v>4457</v>
      </c>
      <c r="U1643" s="47" t="s">
        <v>3533</v>
      </c>
      <c r="V1643" s="141">
        <v>508872</v>
      </c>
      <c r="W1643" s="139"/>
    </row>
    <row r="1644" spans="19:23" ht="12.75">
      <c r="S1644" s="140"/>
      <c r="T1644" s="47" t="s">
        <v>4463</v>
      </c>
      <c r="U1644" s="47" t="s">
        <v>3877</v>
      </c>
      <c r="V1644" s="141">
        <v>514502</v>
      </c>
      <c r="W1644" s="139"/>
    </row>
    <row r="1645" spans="19:23" ht="12.75">
      <c r="S1645" s="140"/>
      <c r="T1645" s="47" t="s">
        <v>4460</v>
      </c>
      <c r="U1645" s="47" t="s">
        <v>3874</v>
      </c>
      <c r="V1645" s="141">
        <v>521719</v>
      </c>
      <c r="W1645" s="139"/>
    </row>
    <row r="1646" spans="19:23" ht="12.75">
      <c r="S1646" s="140"/>
      <c r="T1646" s="47" t="s">
        <v>4469</v>
      </c>
      <c r="U1646" s="47" t="s">
        <v>3574</v>
      </c>
      <c r="V1646" s="141">
        <v>538712</v>
      </c>
      <c r="W1646" s="139"/>
    </row>
    <row r="1647" spans="19:23" ht="12.75">
      <c r="S1647" s="140"/>
      <c r="T1647" s="47" t="s">
        <v>4466</v>
      </c>
      <c r="U1647" s="47" t="s">
        <v>3880</v>
      </c>
      <c r="V1647" s="141">
        <v>545928</v>
      </c>
      <c r="W1647" s="139"/>
    </row>
    <row r="1648" spans="19:23" ht="12.75">
      <c r="S1648" s="140"/>
      <c r="T1648" s="47" t="s">
        <v>4455</v>
      </c>
      <c r="U1648" s="47" t="s">
        <v>3530</v>
      </c>
      <c r="V1648" s="141">
        <v>512300</v>
      </c>
      <c r="W1648" s="139"/>
    </row>
    <row r="1649" spans="19:23" ht="12.75">
      <c r="S1649" s="140"/>
      <c r="T1649" s="47" t="s">
        <v>4461</v>
      </c>
      <c r="U1649" s="47" t="s">
        <v>3875</v>
      </c>
      <c r="V1649" s="141">
        <v>517931</v>
      </c>
      <c r="W1649" s="139"/>
    </row>
    <row r="1650" spans="19:23" ht="12.75">
      <c r="S1650" s="140"/>
      <c r="T1650" s="47" t="s">
        <v>4458</v>
      </c>
      <c r="U1650" s="47" t="s">
        <v>3872</v>
      </c>
      <c r="V1650" s="141">
        <v>525149</v>
      </c>
      <c r="W1650" s="139"/>
    </row>
    <row r="1651" spans="19:23" ht="12.75">
      <c r="S1651" s="140"/>
      <c r="T1651" s="47" t="s">
        <v>4467</v>
      </c>
      <c r="U1651" s="47" t="s">
        <v>3536</v>
      </c>
      <c r="V1651" s="141">
        <v>542141</v>
      </c>
      <c r="W1651" s="139"/>
    </row>
    <row r="1652" spans="19:23" ht="12.75">
      <c r="S1652" s="140"/>
      <c r="T1652" s="47" t="s">
        <v>4464</v>
      </c>
      <c r="U1652" s="47" t="s">
        <v>3878</v>
      </c>
      <c r="V1652" s="141">
        <v>549358</v>
      </c>
      <c r="W1652" s="139"/>
    </row>
    <row r="1653" spans="19:23" ht="12.75">
      <c r="S1653" s="140"/>
      <c r="T1653" s="47" t="s">
        <v>4471</v>
      </c>
      <c r="U1653" s="47" t="s">
        <v>3576</v>
      </c>
      <c r="V1653" s="141">
        <v>578058</v>
      </c>
      <c r="W1653" s="139"/>
    </row>
    <row r="1654" spans="19:23" ht="12.75">
      <c r="S1654" s="140"/>
      <c r="T1654" s="47" t="s">
        <v>4734</v>
      </c>
      <c r="U1654" s="47" t="s">
        <v>3582</v>
      </c>
      <c r="V1654" s="141">
        <v>583689</v>
      </c>
      <c r="W1654" s="139"/>
    </row>
    <row r="1655" spans="19:23" ht="12.75">
      <c r="S1655" s="140"/>
      <c r="T1655" s="47" t="s">
        <v>4474</v>
      </c>
      <c r="U1655" s="47" t="s">
        <v>3579</v>
      </c>
      <c r="V1655" s="141">
        <v>590907</v>
      </c>
      <c r="W1655" s="139"/>
    </row>
    <row r="1656" spans="19:23" ht="12.75">
      <c r="S1656" s="140"/>
      <c r="T1656" s="47" t="s">
        <v>4740</v>
      </c>
      <c r="U1656" s="47" t="s">
        <v>1431</v>
      </c>
      <c r="V1656" s="141">
        <v>607898</v>
      </c>
      <c r="W1656" s="139"/>
    </row>
    <row r="1657" spans="19:23" ht="12.75">
      <c r="S1657" s="140"/>
      <c r="T1657" s="47" t="s">
        <v>4737</v>
      </c>
      <c r="U1657" s="47" t="s">
        <v>3585</v>
      </c>
      <c r="V1657" s="141">
        <v>615116</v>
      </c>
      <c r="W1657" s="139"/>
    </row>
    <row r="1658" spans="19:23" ht="12.75">
      <c r="S1658" s="140"/>
      <c r="T1658" s="47" t="s">
        <v>1956</v>
      </c>
      <c r="U1658" s="47" t="s">
        <v>1957</v>
      </c>
      <c r="V1658" s="141">
        <v>705096</v>
      </c>
      <c r="W1658" s="139"/>
    </row>
    <row r="1659" spans="19:23" ht="12.75">
      <c r="S1659" s="140"/>
      <c r="T1659" s="47" t="s">
        <v>4472</v>
      </c>
      <c r="U1659" s="47" t="s">
        <v>3577</v>
      </c>
      <c r="V1659" s="141">
        <v>608719</v>
      </c>
      <c r="W1659" s="139"/>
    </row>
    <row r="1660" spans="19:23" ht="12.75">
      <c r="S1660" s="140"/>
      <c r="T1660" s="47" t="s">
        <v>4735</v>
      </c>
      <c r="U1660" s="47" t="s">
        <v>3583</v>
      </c>
      <c r="V1660" s="141">
        <v>614349</v>
      </c>
      <c r="W1660" s="139"/>
    </row>
    <row r="1661" spans="19:23" ht="12.75">
      <c r="S1661" s="140"/>
      <c r="T1661" s="47" t="s">
        <v>4475</v>
      </c>
      <c r="U1661" s="47" t="s">
        <v>3534</v>
      </c>
      <c r="V1661" s="141">
        <v>621568</v>
      </c>
      <c r="W1661" s="139"/>
    </row>
    <row r="1662" spans="19:23" ht="12.75">
      <c r="S1662" s="140"/>
      <c r="T1662" s="47" t="s">
        <v>4741</v>
      </c>
      <c r="U1662" s="47" t="s">
        <v>1432</v>
      </c>
      <c r="V1662" s="141">
        <v>638558</v>
      </c>
      <c r="W1662" s="139"/>
    </row>
    <row r="1663" spans="19:23" ht="12.75">
      <c r="S1663" s="140"/>
      <c r="T1663" s="47" t="s">
        <v>4738</v>
      </c>
      <c r="U1663" s="47" t="s">
        <v>1429</v>
      </c>
      <c r="V1663" s="141">
        <v>645775</v>
      </c>
      <c r="W1663" s="139"/>
    </row>
    <row r="1664" spans="19:23" ht="12.75">
      <c r="S1664" s="140"/>
      <c r="T1664" s="47" t="s">
        <v>4470</v>
      </c>
      <c r="U1664" s="47" t="s">
        <v>3575</v>
      </c>
      <c r="V1664" s="141">
        <v>621660</v>
      </c>
      <c r="W1664" s="139"/>
    </row>
    <row r="1665" spans="19:23" ht="12.75">
      <c r="S1665" s="140"/>
      <c r="T1665" s="47" t="s">
        <v>4733</v>
      </c>
      <c r="U1665" s="47" t="s">
        <v>3535</v>
      </c>
      <c r="V1665" s="141">
        <v>627291</v>
      </c>
      <c r="W1665" s="139"/>
    </row>
    <row r="1666" spans="19:23" ht="12.75">
      <c r="S1666" s="140"/>
      <c r="T1666" s="47" t="s">
        <v>4473</v>
      </c>
      <c r="U1666" s="47" t="s">
        <v>3578</v>
      </c>
      <c r="V1666" s="141">
        <v>634509</v>
      </c>
      <c r="W1666" s="139"/>
    </row>
    <row r="1667" spans="19:23" ht="12.75">
      <c r="S1667" s="140"/>
      <c r="T1667" s="47" t="s">
        <v>4739</v>
      </c>
      <c r="U1667" s="47" t="s">
        <v>1430</v>
      </c>
      <c r="V1667" s="141">
        <v>651500</v>
      </c>
      <c r="W1667" s="139"/>
    </row>
    <row r="1668" spans="19:23" ht="12.75">
      <c r="S1668" s="140"/>
      <c r="T1668" s="47" t="s">
        <v>4736</v>
      </c>
      <c r="U1668" s="47" t="s">
        <v>3584</v>
      </c>
      <c r="V1668" s="141">
        <v>658717</v>
      </c>
      <c r="W1668" s="139"/>
    </row>
    <row r="1669" spans="19:23" ht="12.75">
      <c r="S1669" s="140"/>
      <c r="T1669" s="47" t="s">
        <v>4743</v>
      </c>
      <c r="U1669" s="47" t="s">
        <v>1434</v>
      </c>
      <c r="V1669" s="141">
        <v>632951</v>
      </c>
      <c r="W1669" s="139"/>
    </row>
    <row r="1670" spans="19:23" ht="12.75">
      <c r="S1670" s="140"/>
      <c r="T1670" s="47" t="s">
        <v>4749</v>
      </c>
      <c r="U1670" s="47" t="s">
        <v>2990</v>
      </c>
      <c r="V1670" s="141">
        <v>638582</v>
      </c>
      <c r="W1670" s="139"/>
    </row>
    <row r="1671" spans="19:23" ht="12.75">
      <c r="S1671" s="140"/>
      <c r="T1671" s="47" t="s">
        <v>4746</v>
      </c>
      <c r="U1671" s="47" t="s">
        <v>2218</v>
      </c>
      <c r="V1671" s="141">
        <v>645799</v>
      </c>
      <c r="W1671" s="139"/>
    </row>
    <row r="1672" spans="19:23" ht="12.75">
      <c r="S1672" s="140"/>
      <c r="T1672" s="47" t="s">
        <v>4755</v>
      </c>
      <c r="U1672" s="47" t="s">
        <v>2996</v>
      </c>
      <c r="V1672" s="141">
        <v>662791</v>
      </c>
      <c r="W1672" s="139"/>
    </row>
    <row r="1673" spans="19:23" ht="12.75">
      <c r="S1673" s="140"/>
      <c r="T1673" s="47" t="s">
        <v>4752</v>
      </c>
      <c r="U1673" s="47" t="s">
        <v>2993</v>
      </c>
      <c r="V1673" s="141">
        <v>670008</v>
      </c>
      <c r="W1673" s="139"/>
    </row>
    <row r="1674" spans="19:23" ht="12.75">
      <c r="S1674" s="140"/>
      <c r="T1674" s="47" t="s">
        <v>1958</v>
      </c>
      <c r="U1674" s="47" t="s">
        <v>1959</v>
      </c>
      <c r="V1674" s="141">
        <v>759987</v>
      </c>
      <c r="W1674" s="139"/>
    </row>
    <row r="1675" spans="19:23" ht="12.75">
      <c r="S1675" s="140"/>
      <c r="T1675" s="47" t="s">
        <v>4744</v>
      </c>
      <c r="U1675" s="47" t="s">
        <v>1435</v>
      </c>
      <c r="V1675" s="141">
        <v>663613</v>
      </c>
      <c r="W1675" s="139"/>
    </row>
    <row r="1676" spans="19:23" ht="12.75">
      <c r="S1676" s="140"/>
      <c r="T1676" s="47" t="s">
        <v>4750</v>
      </c>
      <c r="U1676" s="47" t="s">
        <v>2991</v>
      </c>
      <c r="V1676" s="141">
        <v>669242</v>
      </c>
      <c r="W1676" s="139"/>
    </row>
    <row r="1677" spans="19:23" ht="12.75">
      <c r="S1677" s="140"/>
      <c r="T1677" s="47" t="s">
        <v>4747</v>
      </c>
      <c r="U1677" s="47" t="s">
        <v>2219</v>
      </c>
      <c r="V1677" s="141">
        <v>676459</v>
      </c>
      <c r="W1677" s="139"/>
    </row>
    <row r="1678" spans="19:23" ht="12.75">
      <c r="S1678" s="140"/>
      <c r="T1678" s="47" t="s">
        <v>4756</v>
      </c>
      <c r="U1678" s="47" t="s">
        <v>2997</v>
      </c>
      <c r="V1678" s="141">
        <v>693451</v>
      </c>
      <c r="W1678" s="139"/>
    </row>
    <row r="1679" spans="19:23" ht="12.75">
      <c r="S1679" s="140"/>
      <c r="T1679" s="47" t="s">
        <v>4753</v>
      </c>
      <c r="U1679" s="47" t="s">
        <v>2994</v>
      </c>
      <c r="V1679" s="141">
        <v>700668</v>
      </c>
      <c r="W1679" s="139"/>
    </row>
    <row r="1680" spans="19:23" ht="12.75">
      <c r="S1680" s="140"/>
      <c r="T1680" s="47" t="s">
        <v>4742</v>
      </c>
      <c r="U1680" s="47" t="s">
        <v>1433</v>
      </c>
      <c r="V1680" s="141">
        <v>667041</v>
      </c>
      <c r="W1680" s="139"/>
    </row>
    <row r="1681" spans="19:23" ht="12.75">
      <c r="S1681" s="140"/>
      <c r="T1681" s="47" t="s">
        <v>4748</v>
      </c>
      <c r="U1681" s="47" t="s">
        <v>2220</v>
      </c>
      <c r="V1681" s="141">
        <v>672670</v>
      </c>
      <c r="W1681" s="139"/>
    </row>
    <row r="1682" spans="19:23" ht="12.75">
      <c r="S1682" s="140"/>
      <c r="T1682" s="47" t="s">
        <v>4745</v>
      </c>
      <c r="U1682" s="47" t="s">
        <v>2217</v>
      </c>
      <c r="V1682" s="141">
        <v>679889</v>
      </c>
      <c r="W1682" s="139"/>
    </row>
    <row r="1683" spans="19:23" ht="12.75">
      <c r="S1683" s="140"/>
      <c r="T1683" s="47" t="s">
        <v>4754</v>
      </c>
      <c r="U1683" s="47" t="s">
        <v>2995</v>
      </c>
      <c r="V1683" s="141">
        <v>696879</v>
      </c>
      <c r="W1683" s="139"/>
    </row>
    <row r="1684" spans="19:23" ht="12.75">
      <c r="S1684" s="140"/>
      <c r="T1684" s="47" t="s">
        <v>4751</v>
      </c>
      <c r="U1684" s="47" t="s">
        <v>2992</v>
      </c>
      <c r="V1684" s="141">
        <v>704098</v>
      </c>
      <c r="W1684" s="139"/>
    </row>
    <row r="1685" spans="19:23" ht="12.75">
      <c r="S1685" s="140"/>
      <c r="T1685" s="47" t="s">
        <v>4758</v>
      </c>
      <c r="U1685" s="47" t="s">
        <v>2999</v>
      </c>
      <c r="V1685" s="141">
        <v>798561</v>
      </c>
      <c r="W1685" s="139"/>
    </row>
    <row r="1686" spans="19:23" ht="12.75">
      <c r="S1686" s="140"/>
      <c r="T1686" s="47" t="s">
        <v>2246</v>
      </c>
      <c r="U1686" s="47" t="s">
        <v>3005</v>
      </c>
      <c r="V1686" s="141">
        <v>804191</v>
      </c>
      <c r="W1686" s="139"/>
    </row>
    <row r="1687" spans="19:23" ht="12.75">
      <c r="S1687" s="140"/>
      <c r="T1687" s="47" t="s">
        <v>4761</v>
      </c>
      <c r="U1687" s="47" t="s">
        <v>3002</v>
      </c>
      <c r="V1687" s="141">
        <v>811408</v>
      </c>
      <c r="W1687" s="139"/>
    </row>
    <row r="1688" spans="19:23" ht="12.75">
      <c r="S1688" s="140"/>
      <c r="T1688" s="47" t="s">
        <v>2252</v>
      </c>
      <c r="U1688" s="47" t="s">
        <v>3011</v>
      </c>
      <c r="V1688" s="141">
        <v>828400</v>
      </c>
      <c r="W1688" s="139"/>
    </row>
    <row r="1689" spans="19:23" ht="12.75">
      <c r="S1689" s="140"/>
      <c r="T1689" s="47" t="s">
        <v>2249</v>
      </c>
      <c r="U1689" s="47" t="s">
        <v>3008</v>
      </c>
      <c r="V1689" s="141">
        <v>835617</v>
      </c>
      <c r="W1689" s="139"/>
    </row>
    <row r="1690" spans="19:23" ht="12.75">
      <c r="S1690" s="140"/>
      <c r="T1690" s="47" t="s">
        <v>1960</v>
      </c>
      <c r="U1690" s="47" t="s">
        <v>1961</v>
      </c>
      <c r="V1690" s="141">
        <v>925596</v>
      </c>
      <c r="W1690" s="139"/>
    </row>
    <row r="1691" spans="19:23" ht="12.75">
      <c r="S1691" s="140"/>
      <c r="T1691" s="47" t="s">
        <v>4759</v>
      </c>
      <c r="U1691" s="47" t="s">
        <v>3000</v>
      </c>
      <c r="V1691" s="141">
        <v>829221</v>
      </c>
      <c r="W1691" s="139"/>
    </row>
    <row r="1692" spans="19:23" ht="12.75">
      <c r="S1692" s="140"/>
      <c r="T1692" s="47" t="s">
        <v>2247</v>
      </c>
      <c r="U1692" s="47" t="s">
        <v>3006</v>
      </c>
      <c r="V1692" s="141">
        <v>834850</v>
      </c>
      <c r="W1692" s="139"/>
    </row>
    <row r="1693" spans="19:23" ht="12.75">
      <c r="S1693" s="140"/>
      <c r="T1693" s="47" t="s">
        <v>4762</v>
      </c>
      <c r="U1693" s="47" t="s">
        <v>3003</v>
      </c>
      <c r="V1693" s="141">
        <v>842069</v>
      </c>
      <c r="W1693" s="139"/>
    </row>
    <row r="1694" spans="19:23" ht="12.75">
      <c r="S1694" s="140"/>
      <c r="T1694" s="47" t="s">
        <v>2253</v>
      </c>
      <c r="U1694" s="47" t="s">
        <v>3012</v>
      </c>
      <c r="V1694" s="141">
        <v>859059</v>
      </c>
      <c r="W1694" s="139"/>
    </row>
    <row r="1695" spans="19:23" ht="12.75">
      <c r="S1695" s="140"/>
      <c r="T1695" s="47" t="s">
        <v>2250</v>
      </c>
      <c r="U1695" s="47" t="s">
        <v>3009</v>
      </c>
      <c r="V1695" s="141">
        <v>866278</v>
      </c>
      <c r="W1695" s="139"/>
    </row>
    <row r="1696" spans="19:23" ht="12.75">
      <c r="S1696" s="140"/>
      <c r="T1696" s="47" t="s">
        <v>4757</v>
      </c>
      <c r="U1696" s="47" t="s">
        <v>2998</v>
      </c>
      <c r="V1696" s="141">
        <v>832651</v>
      </c>
      <c r="W1696" s="139"/>
    </row>
    <row r="1697" spans="19:23" ht="12.75">
      <c r="S1697" s="140"/>
      <c r="T1697" s="47" t="s">
        <v>2245</v>
      </c>
      <c r="U1697" s="47" t="s">
        <v>3004</v>
      </c>
      <c r="V1697" s="141">
        <v>838281</v>
      </c>
      <c r="W1697" s="139"/>
    </row>
    <row r="1698" spans="19:23" ht="12.75">
      <c r="S1698" s="140"/>
      <c r="T1698" s="47" t="s">
        <v>4760</v>
      </c>
      <c r="U1698" s="47" t="s">
        <v>3001</v>
      </c>
      <c r="V1698" s="141">
        <v>845498</v>
      </c>
      <c r="W1698" s="139"/>
    </row>
    <row r="1699" spans="19:23" ht="12.75">
      <c r="S1699" s="140"/>
      <c r="T1699" s="47" t="s">
        <v>2251</v>
      </c>
      <c r="U1699" s="47" t="s">
        <v>3010</v>
      </c>
      <c r="V1699" s="141">
        <v>862490</v>
      </c>
      <c r="W1699" s="139"/>
    </row>
    <row r="1700" spans="19:23" ht="12.75">
      <c r="S1700" s="140"/>
      <c r="T1700" s="47" t="s">
        <v>2248</v>
      </c>
      <c r="U1700" s="47" t="s">
        <v>3007</v>
      </c>
      <c r="V1700" s="141">
        <v>869707</v>
      </c>
      <c r="W1700" s="139"/>
    </row>
    <row r="1701" spans="19:23" ht="12.75">
      <c r="S1701" s="140"/>
      <c r="T1701" s="47" t="s">
        <v>2254</v>
      </c>
      <c r="U1701" s="47" t="s">
        <v>3013</v>
      </c>
      <c r="V1701" s="141">
        <v>512803</v>
      </c>
      <c r="W1701" s="139"/>
    </row>
    <row r="1702" spans="19:23" ht="12.75">
      <c r="S1702" s="140"/>
      <c r="T1702" s="47" t="s">
        <v>2256</v>
      </c>
      <c r="U1702" s="47" t="s">
        <v>3015</v>
      </c>
      <c r="V1702" s="141">
        <v>518433</v>
      </c>
      <c r="W1702" s="139"/>
    </row>
    <row r="1703" spans="19:23" ht="12.75">
      <c r="S1703" s="140"/>
      <c r="T1703" s="47" t="s">
        <v>2255</v>
      </c>
      <c r="U1703" s="47" t="s">
        <v>3014</v>
      </c>
      <c r="V1703" s="141">
        <v>525650</v>
      </c>
      <c r="W1703" s="139"/>
    </row>
    <row r="1704" spans="19:23" ht="12.75">
      <c r="S1704" s="140"/>
      <c r="T1704" s="47" t="s">
        <v>2258</v>
      </c>
      <c r="U1704" s="47" t="s">
        <v>3017</v>
      </c>
      <c r="V1704" s="141">
        <v>542642</v>
      </c>
      <c r="W1704" s="139"/>
    </row>
    <row r="1705" spans="19:23" ht="12.75">
      <c r="S1705" s="140"/>
      <c r="T1705" s="47" t="s">
        <v>2257</v>
      </c>
      <c r="U1705" s="47" t="s">
        <v>3016</v>
      </c>
      <c r="V1705" s="141">
        <v>549860</v>
      </c>
      <c r="W1705" s="139"/>
    </row>
    <row r="1706" spans="19:23" ht="12.75">
      <c r="S1706" s="140"/>
      <c r="T1706" s="47" t="s">
        <v>1962</v>
      </c>
      <c r="U1706" s="47" t="s">
        <v>1963</v>
      </c>
      <c r="V1706" s="141">
        <v>639839</v>
      </c>
      <c r="W1706" s="139"/>
    </row>
    <row r="1707" spans="19:23" ht="12.75">
      <c r="S1707" s="140"/>
      <c r="T1707" s="47" t="s">
        <v>2259</v>
      </c>
      <c r="U1707" s="47" t="s">
        <v>3018</v>
      </c>
      <c r="V1707" s="141">
        <v>539792</v>
      </c>
      <c r="W1707" s="139"/>
    </row>
    <row r="1708" spans="19:23" ht="12.75">
      <c r="S1708" s="140"/>
      <c r="T1708" s="47" t="s">
        <v>2261</v>
      </c>
      <c r="U1708" s="47" t="s">
        <v>3020</v>
      </c>
      <c r="V1708" s="141">
        <v>545423</v>
      </c>
      <c r="W1708" s="139"/>
    </row>
    <row r="1709" spans="19:23" ht="12.75">
      <c r="S1709" s="140"/>
      <c r="T1709" s="47" t="s">
        <v>2260</v>
      </c>
      <c r="U1709" s="47" t="s">
        <v>3019</v>
      </c>
      <c r="V1709" s="141">
        <v>552639</v>
      </c>
      <c r="W1709" s="139"/>
    </row>
    <row r="1710" spans="19:23" ht="12.75">
      <c r="S1710" s="140"/>
      <c r="T1710" s="47" t="s">
        <v>2263</v>
      </c>
      <c r="U1710" s="47" t="s">
        <v>3022</v>
      </c>
      <c r="V1710" s="141">
        <v>569631</v>
      </c>
      <c r="W1710" s="139"/>
    </row>
    <row r="1711" spans="19:23" ht="12.75">
      <c r="S1711" s="140"/>
      <c r="T1711" s="47" t="s">
        <v>2262</v>
      </c>
      <c r="U1711" s="47" t="s">
        <v>3021</v>
      </c>
      <c r="V1711" s="141">
        <v>576850</v>
      </c>
      <c r="W1711" s="139"/>
    </row>
    <row r="1712" spans="19:23" ht="12.75">
      <c r="S1712" s="140"/>
      <c r="T1712" s="47" t="s">
        <v>1964</v>
      </c>
      <c r="U1712" s="47" t="s">
        <v>1965</v>
      </c>
      <c r="V1712" s="141">
        <v>666829</v>
      </c>
      <c r="W1712" s="139"/>
    </row>
    <row r="1713" spans="19:23" ht="12.75">
      <c r="S1713" s="140"/>
      <c r="T1713" s="47" t="s">
        <v>2264</v>
      </c>
      <c r="U1713" s="47" t="s">
        <v>3023</v>
      </c>
      <c r="V1713" s="141">
        <v>452864</v>
      </c>
      <c r="W1713" s="139"/>
    </row>
    <row r="1714" spans="19:23" ht="12.75">
      <c r="S1714" s="140"/>
      <c r="T1714" s="47" t="s">
        <v>2388</v>
      </c>
      <c r="U1714" s="47" t="s">
        <v>3025</v>
      </c>
      <c r="V1714" s="141">
        <v>458495</v>
      </c>
      <c r="W1714" s="139"/>
    </row>
    <row r="1715" spans="19:23" ht="12.75">
      <c r="S1715" s="140"/>
      <c r="T1715" s="47" t="s">
        <v>2387</v>
      </c>
      <c r="U1715" s="47" t="s">
        <v>3024</v>
      </c>
      <c r="V1715" s="141">
        <v>465711</v>
      </c>
      <c r="W1715" s="139"/>
    </row>
    <row r="1716" spans="19:23" ht="12.75">
      <c r="S1716" s="140"/>
      <c r="T1716" s="47" t="s">
        <v>2390</v>
      </c>
      <c r="U1716" s="47" t="s">
        <v>3027</v>
      </c>
      <c r="V1716" s="141">
        <v>482704</v>
      </c>
      <c r="W1716" s="139"/>
    </row>
    <row r="1717" spans="19:23" ht="12.75">
      <c r="S1717" s="140"/>
      <c r="T1717" s="47" t="s">
        <v>2389</v>
      </c>
      <c r="U1717" s="47" t="s">
        <v>3026</v>
      </c>
      <c r="V1717" s="141">
        <v>489921</v>
      </c>
      <c r="W1717" s="139"/>
    </row>
    <row r="1718" spans="20:23" ht="12.75">
      <c r="T1718" s="47" t="s">
        <v>1966</v>
      </c>
      <c r="U1718" s="47" t="s">
        <v>1967</v>
      </c>
      <c r="V1718" s="141">
        <v>579900</v>
      </c>
      <c r="W1718" s="139"/>
    </row>
    <row r="1719" spans="20:23" ht="12.75">
      <c r="T1719" s="47" t="s">
        <v>2391</v>
      </c>
      <c r="U1719" s="47" t="s">
        <v>3028</v>
      </c>
      <c r="V1719" s="141">
        <v>568202</v>
      </c>
      <c r="W1719" s="139"/>
    </row>
    <row r="1720" spans="20:23" ht="12.75">
      <c r="T1720" s="47" t="s">
        <v>2393</v>
      </c>
      <c r="U1720" s="47" t="s">
        <v>3840</v>
      </c>
      <c r="V1720" s="141">
        <v>573832</v>
      </c>
      <c r="W1720" s="139"/>
    </row>
    <row r="1721" spans="20:23" ht="12.75">
      <c r="T1721" s="47" t="s">
        <v>2392</v>
      </c>
      <c r="U1721" s="47" t="s">
        <v>3029</v>
      </c>
      <c r="V1721" s="141">
        <v>581050</v>
      </c>
      <c r="W1721" s="139"/>
    </row>
    <row r="1722" spans="20:23" ht="12.75">
      <c r="T1722" s="47" t="s">
        <v>2395</v>
      </c>
      <c r="U1722" s="47" t="s">
        <v>3842</v>
      </c>
      <c r="V1722" s="141">
        <v>598042</v>
      </c>
      <c r="W1722" s="139"/>
    </row>
    <row r="1723" spans="20:23" ht="12.75">
      <c r="T1723" s="47" t="s">
        <v>2394</v>
      </c>
      <c r="U1723" s="47" t="s">
        <v>3841</v>
      </c>
      <c r="V1723" s="141">
        <v>605260</v>
      </c>
      <c r="W1723" s="139"/>
    </row>
    <row r="1724" spans="20:23" ht="12.75">
      <c r="T1724" s="47" t="s">
        <v>1968</v>
      </c>
      <c r="U1724" s="47" t="s">
        <v>1969</v>
      </c>
      <c r="V1724" s="141">
        <v>695238</v>
      </c>
      <c r="W1724" s="139"/>
    </row>
    <row r="1725" spans="20:23" ht="12.75">
      <c r="T1725" s="47" t="s">
        <v>2396</v>
      </c>
      <c r="U1725" s="47" t="s">
        <v>3843</v>
      </c>
      <c r="V1725" s="141">
        <v>686944</v>
      </c>
      <c r="W1725" s="139"/>
    </row>
    <row r="1726" spans="20:23" ht="12.75">
      <c r="T1726" s="47" t="s">
        <v>2398</v>
      </c>
      <c r="U1726" s="47" t="s">
        <v>3845</v>
      </c>
      <c r="V1726" s="141">
        <v>692576</v>
      </c>
      <c r="W1726" s="139"/>
    </row>
    <row r="1727" spans="20:23" ht="12.75">
      <c r="T1727" s="47" t="s">
        <v>2397</v>
      </c>
      <c r="U1727" s="47" t="s">
        <v>3844</v>
      </c>
      <c r="V1727" s="141">
        <v>699793</v>
      </c>
      <c r="W1727" s="139"/>
    </row>
    <row r="1728" spans="20:23" ht="12.75">
      <c r="T1728" s="47" t="s">
        <v>2400</v>
      </c>
      <c r="U1728" s="47" t="s">
        <v>3847</v>
      </c>
      <c r="V1728" s="141">
        <v>716785</v>
      </c>
      <c r="W1728" s="139"/>
    </row>
    <row r="1729" spans="20:23" ht="12.75">
      <c r="T1729" s="47" t="s">
        <v>2399</v>
      </c>
      <c r="U1729" s="47" t="s">
        <v>3846</v>
      </c>
      <c r="V1729" s="141">
        <v>724002</v>
      </c>
      <c r="W1729" s="139"/>
    </row>
    <row r="1730" spans="20:23" ht="12.75">
      <c r="T1730" s="47" t="s">
        <v>1970</v>
      </c>
      <c r="U1730" s="47" t="s">
        <v>1971</v>
      </c>
      <c r="V1730" s="141">
        <v>813982</v>
      </c>
      <c r="W1730" s="139"/>
    </row>
    <row r="1731" spans="20:23" ht="12.75">
      <c r="T1731" s="47" t="s">
        <v>2401</v>
      </c>
      <c r="U1731" s="47" t="s">
        <v>3848</v>
      </c>
      <c r="V1731" s="141">
        <v>853423</v>
      </c>
      <c r="W1731" s="139"/>
    </row>
    <row r="1732" spans="20:23" ht="12.75">
      <c r="T1732" s="47" t="s">
        <v>2403</v>
      </c>
      <c r="U1732" s="47" t="s">
        <v>3850</v>
      </c>
      <c r="V1732" s="141">
        <v>859054</v>
      </c>
      <c r="W1732" s="139"/>
    </row>
    <row r="1733" spans="20:23" ht="12.75">
      <c r="T1733" s="47" t="s">
        <v>2402</v>
      </c>
      <c r="U1733" s="47" t="s">
        <v>3849</v>
      </c>
      <c r="V1733" s="141">
        <v>866272</v>
      </c>
      <c r="W1733" s="139"/>
    </row>
    <row r="1734" spans="20:23" ht="12.75">
      <c r="T1734" s="47" t="s">
        <v>2405</v>
      </c>
      <c r="U1734" s="47" t="s">
        <v>3852</v>
      </c>
      <c r="V1734" s="141">
        <v>883264</v>
      </c>
      <c r="W1734" s="139"/>
    </row>
    <row r="1735" spans="20:23" ht="12.75">
      <c r="T1735" s="47" t="s">
        <v>2404</v>
      </c>
      <c r="U1735" s="47" t="s">
        <v>3851</v>
      </c>
      <c r="V1735" s="141">
        <v>890481</v>
      </c>
      <c r="W1735" s="139"/>
    </row>
    <row r="1736" spans="20:23" ht="12.75">
      <c r="T1736" s="47" t="s">
        <v>1972</v>
      </c>
      <c r="U1736" s="47" t="s">
        <v>1973</v>
      </c>
      <c r="V1736" s="141">
        <v>980460</v>
      </c>
      <c r="W1736" s="139"/>
    </row>
    <row r="1737" spans="20:23" ht="12.75">
      <c r="T1737" s="47" t="s">
        <v>2370</v>
      </c>
      <c r="U1737" s="47" t="s">
        <v>2147</v>
      </c>
      <c r="V1737" s="141">
        <v>59482</v>
      </c>
      <c r="W1737" s="337"/>
    </row>
    <row r="1738" spans="20:23" ht="12.75">
      <c r="T1738" s="47" t="s">
        <v>2371</v>
      </c>
      <c r="U1738" s="47" t="s">
        <v>2148</v>
      </c>
      <c r="V1738" s="141">
        <v>90142</v>
      </c>
      <c r="W1738" s="337"/>
    </row>
    <row r="1739" spans="20:23" ht="12.75">
      <c r="T1739" s="47" t="s">
        <v>2368</v>
      </c>
      <c r="U1739" s="47" t="s">
        <v>2145</v>
      </c>
      <c r="V1739" s="141">
        <v>93572</v>
      </c>
      <c r="W1739" s="337"/>
    </row>
    <row r="1740" spans="20:23" ht="12.75">
      <c r="T1740" s="47" t="s">
        <v>2369</v>
      </c>
      <c r="U1740" s="47" t="s">
        <v>2146</v>
      </c>
      <c r="V1740" s="141">
        <v>59482</v>
      </c>
      <c r="W1740" s="337"/>
    </row>
    <row r="1741" spans="20:23" ht="12.75">
      <c r="T1741" s="47" t="s">
        <v>3833</v>
      </c>
      <c r="U1741" s="47" t="s">
        <v>4615</v>
      </c>
      <c r="V1741" s="141">
        <v>628292</v>
      </c>
      <c r="W1741" s="139"/>
    </row>
    <row r="1742" spans="20:23" ht="12.75">
      <c r="T1742" s="47" t="s">
        <v>3839</v>
      </c>
      <c r="U1742" s="47" t="s">
        <v>4621</v>
      </c>
      <c r="V1742" s="141">
        <v>633923</v>
      </c>
      <c r="W1742" s="139"/>
    </row>
    <row r="1743" spans="20:23" ht="12.75">
      <c r="T1743" s="47" t="s">
        <v>3836</v>
      </c>
      <c r="U1743" s="47" t="s">
        <v>4618</v>
      </c>
      <c r="V1743" s="141">
        <v>641139</v>
      </c>
      <c r="W1743" s="139"/>
    </row>
    <row r="1744" spans="20:23" ht="12.75">
      <c r="T1744" s="47" t="s">
        <v>1441</v>
      </c>
      <c r="U1744" s="47" t="s">
        <v>2162</v>
      </c>
      <c r="V1744" s="141">
        <v>658131</v>
      </c>
      <c r="W1744" s="139"/>
    </row>
    <row r="1745" spans="20:23" ht="12.75">
      <c r="T1745" s="47" t="s">
        <v>1438</v>
      </c>
      <c r="U1745" s="47" t="s">
        <v>4624</v>
      </c>
      <c r="V1745" s="141">
        <v>665348</v>
      </c>
      <c r="W1745" s="139"/>
    </row>
    <row r="1746" spans="20:23" ht="12.75">
      <c r="T1746" s="47" t="s">
        <v>1974</v>
      </c>
      <c r="U1746" s="47" t="s">
        <v>1975</v>
      </c>
      <c r="V1746" s="141">
        <v>755328</v>
      </c>
      <c r="W1746" s="139"/>
    </row>
    <row r="1747" spans="20:23" ht="12.75">
      <c r="T1747" s="47" t="s">
        <v>3834</v>
      </c>
      <c r="U1747" s="47" t="s">
        <v>4616</v>
      </c>
      <c r="V1747" s="141">
        <v>667322</v>
      </c>
      <c r="W1747" s="139"/>
    </row>
    <row r="1748" spans="20:23" ht="12.75">
      <c r="T1748" s="47" t="s">
        <v>1436</v>
      </c>
      <c r="U1748" s="47" t="s">
        <v>4622</v>
      </c>
      <c r="V1748" s="141">
        <v>672952</v>
      </c>
      <c r="W1748" s="139"/>
    </row>
    <row r="1749" spans="20:23" ht="12.75">
      <c r="T1749" s="47" t="s">
        <v>3837</v>
      </c>
      <c r="U1749" s="47" t="s">
        <v>4619</v>
      </c>
      <c r="V1749" s="141">
        <v>680169</v>
      </c>
      <c r="W1749" s="139"/>
    </row>
    <row r="1750" spans="20:23" ht="12.75">
      <c r="T1750" s="47" t="s">
        <v>1442</v>
      </c>
      <c r="U1750" s="47" t="s">
        <v>2163</v>
      </c>
      <c r="V1750" s="141">
        <v>697161</v>
      </c>
      <c r="W1750" s="139"/>
    </row>
    <row r="1751" spans="20:23" ht="12.75">
      <c r="T1751" s="47" t="s">
        <v>1439</v>
      </c>
      <c r="U1751" s="47" t="s">
        <v>4625</v>
      </c>
      <c r="V1751" s="141">
        <v>704378</v>
      </c>
      <c r="W1751" s="139"/>
    </row>
    <row r="1752" spans="20:23" ht="12.75">
      <c r="T1752" s="47" t="s">
        <v>3832</v>
      </c>
      <c r="U1752" s="47" t="s">
        <v>3853</v>
      </c>
      <c r="V1752" s="141">
        <v>671894</v>
      </c>
      <c r="W1752" s="139"/>
    </row>
    <row r="1753" spans="20:23" ht="12.75">
      <c r="T1753" s="47" t="s">
        <v>3838</v>
      </c>
      <c r="U1753" s="47" t="s">
        <v>4620</v>
      </c>
      <c r="V1753" s="141">
        <v>677524</v>
      </c>
      <c r="W1753" s="139"/>
    </row>
    <row r="1754" spans="20:23" ht="12.75">
      <c r="T1754" s="47" t="s">
        <v>3835</v>
      </c>
      <c r="U1754" s="47" t="s">
        <v>4617</v>
      </c>
      <c r="V1754" s="141">
        <v>684742</v>
      </c>
      <c r="W1754" s="139"/>
    </row>
    <row r="1755" spans="20:23" ht="12.75">
      <c r="T1755" s="47" t="s">
        <v>1440</v>
      </c>
      <c r="U1755" s="47" t="s">
        <v>4626</v>
      </c>
      <c r="V1755" s="141">
        <v>701733</v>
      </c>
      <c r="W1755" s="139"/>
    </row>
    <row r="1756" spans="20:23" ht="12.75">
      <c r="T1756" s="47" t="s">
        <v>1437</v>
      </c>
      <c r="U1756" s="47" t="s">
        <v>4623</v>
      </c>
      <c r="V1756" s="141">
        <v>708951</v>
      </c>
      <c r="W1756" s="139"/>
    </row>
    <row r="1757" spans="20:23" ht="12.75">
      <c r="T1757" s="47" t="s">
        <v>1444</v>
      </c>
      <c r="U1757" s="47" t="s">
        <v>2165</v>
      </c>
      <c r="V1757" s="141">
        <v>661360</v>
      </c>
      <c r="W1757" s="139"/>
    </row>
    <row r="1758" spans="20:23" ht="12.75">
      <c r="T1758" s="47" t="s">
        <v>1450</v>
      </c>
      <c r="U1758" s="47" t="s">
        <v>2238</v>
      </c>
      <c r="V1758" s="141">
        <v>666991</v>
      </c>
      <c r="W1758" s="139"/>
    </row>
    <row r="1759" spans="20:23" ht="12.75">
      <c r="T1759" s="47" t="s">
        <v>1447</v>
      </c>
      <c r="U1759" s="47" t="s">
        <v>2235</v>
      </c>
      <c r="V1759" s="141">
        <v>674208</v>
      </c>
      <c r="W1759" s="139"/>
    </row>
    <row r="1760" spans="20:23" ht="12.75">
      <c r="T1760" s="47" t="s">
        <v>1456</v>
      </c>
      <c r="U1760" s="47" t="s">
        <v>728</v>
      </c>
      <c r="V1760" s="141">
        <v>691199</v>
      </c>
      <c r="W1760" s="139"/>
    </row>
    <row r="1761" spans="20:23" ht="12.75">
      <c r="T1761" s="47" t="s">
        <v>1453</v>
      </c>
      <c r="U1761" s="47" t="s">
        <v>725</v>
      </c>
      <c r="V1761" s="141">
        <v>698418</v>
      </c>
      <c r="W1761" s="139"/>
    </row>
    <row r="1762" spans="20:23" ht="12.75">
      <c r="T1762" s="47" t="s">
        <v>1976</v>
      </c>
      <c r="U1762" s="47" t="s">
        <v>1977</v>
      </c>
      <c r="V1762" s="141">
        <v>788397</v>
      </c>
      <c r="W1762" s="139"/>
    </row>
    <row r="1763" spans="20:23" ht="12.75">
      <c r="T1763" s="47" t="s">
        <v>1445</v>
      </c>
      <c r="U1763" s="47" t="s">
        <v>2233</v>
      </c>
      <c r="V1763" s="141">
        <v>700389</v>
      </c>
      <c r="W1763" s="139"/>
    </row>
    <row r="1764" spans="20:23" ht="12.75">
      <c r="T1764" s="47" t="s">
        <v>1451</v>
      </c>
      <c r="U1764" s="47" t="s">
        <v>2239</v>
      </c>
      <c r="V1764" s="141">
        <v>706019</v>
      </c>
      <c r="W1764" s="139"/>
    </row>
    <row r="1765" spans="20:23" ht="12.75">
      <c r="T1765" s="47" t="s">
        <v>1448</v>
      </c>
      <c r="U1765" s="47" t="s">
        <v>2236</v>
      </c>
      <c r="V1765" s="141">
        <v>713237</v>
      </c>
      <c r="W1765" s="139"/>
    </row>
    <row r="1766" spans="20:23" ht="12.75">
      <c r="T1766" s="47" t="s">
        <v>1457</v>
      </c>
      <c r="U1766" s="47" t="s">
        <v>751</v>
      </c>
      <c r="V1766" s="141">
        <v>730228</v>
      </c>
      <c r="W1766" s="139"/>
    </row>
    <row r="1767" spans="20:23" ht="12.75">
      <c r="T1767" s="47" t="s">
        <v>1454</v>
      </c>
      <c r="U1767" s="47" t="s">
        <v>726</v>
      </c>
      <c r="V1767" s="141">
        <v>737445</v>
      </c>
      <c r="W1767" s="139"/>
    </row>
    <row r="1768" spans="20:23" ht="12.75">
      <c r="T1768" s="47" t="s">
        <v>1443</v>
      </c>
      <c r="U1768" s="47" t="s">
        <v>2164</v>
      </c>
      <c r="V1768" s="141">
        <v>704962</v>
      </c>
      <c r="W1768" s="139"/>
    </row>
    <row r="1769" spans="20:23" ht="12.75">
      <c r="T1769" s="47" t="s">
        <v>1449</v>
      </c>
      <c r="U1769" s="47" t="s">
        <v>2237</v>
      </c>
      <c r="V1769" s="141">
        <v>710592</v>
      </c>
      <c r="W1769" s="139"/>
    </row>
    <row r="1770" spans="20:23" ht="12.75">
      <c r="T1770" s="47" t="s">
        <v>1446</v>
      </c>
      <c r="U1770" s="47" t="s">
        <v>2234</v>
      </c>
      <c r="V1770" s="141">
        <v>717809</v>
      </c>
      <c r="W1770" s="139"/>
    </row>
    <row r="1771" spans="20:23" ht="12.75">
      <c r="T1771" s="47" t="s">
        <v>1455</v>
      </c>
      <c r="U1771" s="47" t="s">
        <v>727</v>
      </c>
      <c r="V1771" s="141">
        <v>734800</v>
      </c>
      <c r="W1771" s="139"/>
    </row>
    <row r="1772" spans="20:23" ht="12.75">
      <c r="T1772" s="47" t="s">
        <v>1452</v>
      </c>
      <c r="U1772" s="47" t="s">
        <v>724</v>
      </c>
      <c r="V1772" s="141">
        <v>742018</v>
      </c>
      <c r="W1772" s="139"/>
    </row>
    <row r="1773" spans="20:23" ht="12.75">
      <c r="T1773" s="47" t="s">
        <v>1459</v>
      </c>
      <c r="U1773" s="47" t="s">
        <v>753</v>
      </c>
      <c r="V1773" s="141">
        <v>637096</v>
      </c>
      <c r="W1773" s="139"/>
    </row>
    <row r="1774" spans="20:23" ht="12.75">
      <c r="T1774" s="47" t="s">
        <v>1465</v>
      </c>
      <c r="U1774" s="47" t="s">
        <v>759</v>
      </c>
      <c r="V1774" s="141">
        <v>642725</v>
      </c>
      <c r="W1774" s="139"/>
    </row>
    <row r="1775" spans="20:23" ht="12.75">
      <c r="T1775" s="47" t="s">
        <v>1462</v>
      </c>
      <c r="U1775" s="47" t="s">
        <v>756</v>
      </c>
      <c r="V1775" s="141">
        <v>649944</v>
      </c>
      <c r="W1775" s="139"/>
    </row>
    <row r="1776" spans="20:23" ht="12.75">
      <c r="T1776" s="47" t="s">
        <v>3859</v>
      </c>
      <c r="U1776" s="47" t="s">
        <v>765</v>
      </c>
      <c r="V1776" s="141">
        <v>666934</v>
      </c>
      <c r="W1776" s="139"/>
    </row>
    <row r="1777" spans="20:23" ht="12.75">
      <c r="T1777" s="47" t="s">
        <v>3856</v>
      </c>
      <c r="U1777" s="47" t="s">
        <v>762</v>
      </c>
      <c r="V1777" s="141">
        <v>674152</v>
      </c>
      <c r="W1777" s="139"/>
    </row>
    <row r="1778" spans="20:23" ht="12.75">
      <c r="T1778" s="47" t="s">
        <v>1978</v>
      </c>
      <c r="U1778" s="47" t="s">
        <v>1979</v>
      </c>
      <c r="V1778" s="141">
        <v>764132</v>
      </c>
      <c r="W1778" s="139"/>
    </row>
    <row r="1779" spans="20:23" ht="12.75">
      <c r="T1779" s="47" t="s">
        <v>1460</v>
      </c>
      <c r="U1779" s="47" t="s">
        <v>754</v>
      </c>
      <c r="V1779" s="141">
        <v>676124</v>
      </c>
      <c r="W1779" s="139"/>
    </row>
    <row r="1780" spans="20:23" ht="12.75">
      <c r="T1780" s="47" t="s">
        <v>3854</v>
      </c>
      <c r="U1780" s="47" t="s">
        <v>760</v>
      </c>
      <c r="V1780" s="141">
        <v>681754</v>
      </c>
      <c r="W1780" s="139"/>
    </row>
    <row r="1781" spans="20:23" ht="12.75">
      <c r="T1781" s="47" t="s">
        <v>1463</v>
      </c>
      <c r="U1781" s="47" t="s">
        <v>757</v>
      </c>
      <c r="V1781" s="141">
        <v>688972</v>
      </c>
      <c r="W1781" s="139"/>
    </row>
    <row r="1782" spans="20:23" ht="12.75">
      <c r="T1782" s="47" t="s">
        <v>3860</v>
      </c>
      <c r="U1782" s="47" t="s">
        <v>766</v>
      </c>
      <c r="V1782" s="141">
        <v>705964</v>
      </c>
      <c r="W1782" s="139"/>
    </row>
    <row r="1783" spans="20:23" ht="12.75">
      <c r="T1783" s="47" t="s">
        <v>3857</v>
      </c>
      <c r="U1783" s="47" t="s">
        <v>763</v>
      </c>
      <c r="V1783" s="141">
        <v>713182</v>
      </c>
      <c r="W1783" s="139"/>
    </row>
    <row r="1784" spans="20:23" ht="12.75">
      <c r="T1784" s="47" t="s">
        <v>1458</v>
      </c>
      <c r="U1784" s="47" t="s">
        <v>752</v>
      </c>
      <c r="V1784" s="141">
        <v>680697</v>
      </c>
      <c r="W1784" s="139"/>
    </row>
    <row r="1785" spans="20:23" ht="12.75">
      <c r="T1785" s="47" t="s">
        <v>1464</v>
      </c>
      <c r="U1785" s="47" t="s">
        <v>758</v>
      </c>
      <c r="V1785" s="141">
        <v>686327</v>
      </c>
      <c r="W1785" s="139"/>
    </row>
    <row r="1786" spans="20:23" ht="12.75">
      <c r="T1786" s="47" t="s">
        <v>1461</v>
      </c>
      <c r="U1786" s="47" t="s">
        <v>755</v>
      </c>
      <c r="V1786" s="141">
        <v>693544</v>
      </c>
      <c r="W1786" s="139"/>
    </row>
    <row r="1787" spans="20:23" ht="12.75">
      <c r="T1787" s="47" t="s">
        <v>3858</v>
      </c>
      <c r="U1787" s="47" t="s">
        <v>764</v>
      </c>
      <c r="V1787" s="141">
        <v>710536</v>
      </c>
      <c r="W1787" s="139"/>
    </row>
    <row r="1788" spans="20:23" ht="12.75">
      <c r="T1788" s="47" t="s">
        <v>3855</v>
      </c>
      <c r="U1788" s="47" t="s">
        <v>761</v>
      </c>
      <c r="V1788" s="141">
        <v>717753</v>
      </c>
      <c r="W1788" s="139"/>
    </row>
    <row r="1789" spans="20:23" ht="12.75">
      <c r="T1789" s="47" t="s">
        <v>3862</v>
      </c>
      <c r="U1789" s="47" t="s">
        <v>768</v>
      </c>
      <c r="V1789" s="141">
        <v>696169</v>
      </c>
      <c r="W1789" s="139"/>
    </row>
    <row r="1790" spans="20:23" ht="12.75">
      <c r="T1790" s="47" t="s">
        <v>3868</v>
      </c>
      <c r="U1790" s="47" t="s">
        <v>774</v>
      </c>
      <c r="V1790" s="141">
        <v>701798</v>
      </c>
      <c r="W1790" s="139"/>
    </row>
    <row r="1791" spans="20:23" ht="12.75">
      <c r="T1791" s="47" t="s">
        <v>3865</v>
      </c>
      <c r="U1791" s="47" t="s">
        <v>771</v>
      </c>
      <c r="V1791" s="141">
        <v>709016</v>
      </c>
      <c r="W1791" s="139"/>
    </row>
    <row r="1792" spans="20:23" ht="12.75">
      <c r="T1792" s="47" t="s">
        <v>2274</v>
      </c>
      <c r="U1792" s="47" t="s">
        <v>4496</v>
      </c>
      <c r="V1792" s="141">
        <v>726008</v>
      </c>
      <c r="W1792" s="139"/>
    </row>
    <row r="1793" spans="20:23" ht="12.75">
      <c r="T1793" s="47" t="s">
        <v>2271</v>
      </c>
      <c r="U1793" s="47" t="s">
        <v>777</v>
      </c>
      <c r="V1793" s="141">
        <v>733227</v>
      </c>
      <c r="W1793" s="139"/>
    </row>
    <row r="1794" spans="20:23" ht="12.75">
      <c r="T1794" s="47" t="s">
        <v>1980</v>
      </c>
      <c r="U1794" s="47" t="s">
        <v>1981</v>
      </c>
      <c r="V1794" s="141">
        <v>823206</v>
      </c>
      <c r="W1794" s="139"/>
    </row>
    <row r="1795" spans="20:23" ht="12.75">
      <c r="T1795" s="47" t="s">
        <v>3863</v>
      </c>
      <c r="U1795" s="47" t="s">
        <v>769</v>
      </c>
      <c r="V1795" s="141">
        <v>735198</v>
      </c>
      <c r="W1795" s="139"/>
    </row>
    <row r="1796" spans="20:23" ht="12.75">
      <c r="T1796" s="47" t="s">
        <v>3869</v>
      </c>
      <c r="U1796" s="47" t="s">
        <v>775</v>
      </c>
      <c r="V1796" s="141">
        <v>740828</v>
      </c>
      <c r="W1796" s="139"/>
    </row>
    <row r="1797" spans="20:23" ht="12.75">
      <c r="T1797" s="47" t="s">
        <v>3866</v>
      </c>
      <c r="U1797" s="47" t="s">
        <v>772</v>
      </c>
      <c r="V1797" s="141">
        <v>748046</v>
      </c>
      <c r="W1797" s="139"/>
    </row>
    <row r="1798" spans="20:23" ht="12.75">
      <c r="T1798" s="47" t="s">
        <v>2275</v>
      </c>
      <c r="U1798" s="47" t="s">
        <v>4497</v>
      </c>
      <c r="V1798" s="141">
        <v>765036</v>
      </c>
      <c r="W1798" s="139"/>
    </row>
    <row r="1799" spans="20:23" ht="12.75">
      <c r="T1799" s="47" t="s">
        <v>2272</v>
      </c>
      <c r="U1799" s="47" t="s">
        <v>4494</v>
      </c>
      <c r="V1799" s="141">
        <v>772255</v>
      </c>
      <c r="W1799" s="139"/>
    </row>
    <row r="1800" spans="20:23" ht="12.75">
      <c r="T1800" s="47" t="s">
        <v>3861</v>
      </c>
      <c r="U1800" s="47" t="s">
        <v>767</v>
      </c>
      <c r="V1800" s="141">
        <v>739771</v>
      </c>
      <c r="W1800" s="139"/>
    </row>
    <row r="1801" spans="20:23" ht="12.75">
      <c r="T1801" s="47" t="s">
        <v>3867</v>
      </c>
      <c r="U1801" s="47" t="s">
        <v>773</v>
      </c>
      <c r="V1801" s="141">
        <v>745401</v>
      </c>
      <c r="W1801" s="139"/>
    </row>
    <row r="1802" spans="20:23" ht="12.75">
      <c r="T1802" s="47" t="s">
        <v>3864</v>
      </c>
      <c r="U1802" s="47" t="s">
        <v>770</v>
      </c>
      <c r="V1802" s="141">
        <v>752617</v>
      </c>
      <c r="W1802" s="139"/>
    </row>
    <row r="1803" spans="20:23" ht="12.75">
      <c r="T1803" s="47" t="s">
        <v>2273</v>
      </c>
      <c r="U1803" s="47" t="s">
        <v>4495</v>
      </c>
      <c r="V1803" s="141">
        <v>769610</v>
      </c>
      <c r="W1803" s="139"/>
    </row>
    <row r="1804" spans="20:23" ht="12.75">
      <c r="T1804" s="47" t="s">
        <v>2270</v>
      </c>
      <c r="U1804" s="47" t="s">
        <v>776</v>
      </c>
      <c r="V1804" s="141">
        <v>776827</v>
      </c>
      <c r="W1804" s="139"/>
    </row>
    <row r="1805" spans="20:23" ht="12.75">
      <c r="T1805" s="47" t="s">
        <v>2277</v>
      </c>
      <c r="U1805" s="47" t="s">
        <v>4499</v>
      </c>
      <c r="V1805" s="141">
        <v>789921</v>
      </c>
      <c r="W1805" s="139"/>
    </row>
    <row r="1806" spans="20:23" ht="12.75">
      <c r="T1806" s="47" t="s">
        <v>2283</v>
      </c>
      <c r="U1806" s="47" t="s">
        <v>3932</v>
      </c>
      <c r="V1806" s="141">
        <v>795550</v>
      </c>
      <c r="W1806" s="139"/>
    </row>
    <row r="1807" spans="20:23" ht="12.75">
      <c r="T1807" s="47" t="s">
        <v>2280</v>
      </c>
      <c r="U1807" s="47" t="s">
        <v>4502</v>
      </c>
      <c r="V1807" s="141">
        <v>802768</v>
      </c>
      <c r="W1807" s="139"/>
    </row>
    <row r="1808" spans="20:23" ht="12.75">
      <c r="T1808" s="47" t="s">
        <v>2289</v>
      </c>
      <c r="U1808" s="47" t="s">
        <v>459</v>
      </c>
      <c r="V1808" s="141">
        <v>819760</v>
      </c>
      <c r="W1808" s="139"/>
    </row>
    <row r="1809" spans="20:23" ht="12.75">
      <c r="T1809" s="47" t="s">
        <v>2286</v>
      </c>
      <c r="U1809" s="47" t="s">
        <v>3935</v>
      </c>
      <c r="V1809" s="141">
        <v>826978</v>
      </c>
      <c r="W1809" s="139"/>
    </row>
    <row r="1810" spans="20:23" ht="12.75">
      <c r="T1810" s="47" t="s">
        <v>1982</v>
      </c>
      <c r="U1810" s="47" t="s">
        <v>1983</v>
      </c>
      <c r="V1810" s="141">
        <v>916957</v>
      </c>
      <c r="W1810" s="139"/>
    </row>
    <row r="1811" spans="20:23" ht="12.75">
      <c r="T1811" s="47" t="s">
        <v>2278</v>
      </c>
      <c r="U1811" s="47" t="s">
        <v>4500</v>
      </c>
      <c r="V1811" s="141">
        <v>828950</v>
      </c>
      <c r="W1811" s="139"/>
    </row>
    <row r="1812" spans="20:23" ht="12.75">
      <c r="T1812" s="47" t="s">
        <v>2284</v>
      </c>
      <c r="U1812" s="47" t="s">
        <v>3933</v>
      </c>
      <c r="V1812" s="141">
        <v>834580</v>
      </c>
      <c r="W1812" s="139"/>
    </row>
    <row r="1813" spans="20:23" ht="12.75">
      <c r="T1813" s="47" t="s">
        <v>2281</v>
      </c>
      <c r="U1813" s="47" t="s">
        <v>4503</v>
      </c>
      <c r="V1813" s="141">
        <v>841796</v>
      </c>
      <c r="W1813" s="139"/>
    </row>
    <row r="1814" spans="20:23" ht="12.75">
      <c r="T1814" s="47" t="s">
        <v>2290</v>
      </c>
      <c r="U1814" s="47" t="s">
        <v>460</v>
      </c>
      <c r="V1814" s="141">
        <v>858789</v>
      </c>
      <c r="W1814" s="139"/>
    </row>
    <row r="1815" spans="20:23" ht="12.75">
      <c r="T1815" s="47" t="s">
        <v>2287</v>
      </c>
      <c r="U1815" s="47" t="s">
        <v>457</v>
      </c>
      <c r="V1815" s="141">
        <v>866006</v>
      </c>
      <c r="W1815" s="139"/>
    </row>
    <row r="1816" spans="20:23" ht="12.75">
      <c r="T1816" s="47" t="s">
        <v>2276</v>
      </c>
      <c r="U1816" s="47" t="s">
        <v>4498</v>
      </c>
      <c r="V1816" s="141">
        <v>833521</v>
      </c>
      <c r="W1816" s="139"/>
    </row>
    <row r="1817" spans="20:23" ht="12.75">
      <c r="T1817" s="47" t="s">
        <v>2282</v>
      </c>
      <c r="U1817" s="47" t="s">
        <v>4504</v>
      </c>
      <c r="V1817" s="141">
        <v>839152</v>
      </c>
      <c r="W1817" s="139"/>
    </row>
    <row r="1818" spans="20:23" ht="12.75">
      <c r="T1818" s="47" t="s">
        <v>2279</v>
      </c>
      <c r="U1818" s="47" t="s">
        <v>4501</v>
      </c>
      <c r="V1818" s="141">
        <v>846370</v>
      </c>
      <c r="W1818" s="139"/>
    </row>
    <row r="1819" spans="20:23" ht="12.75">
      <c r="T1819" s="47" t="s">
        <v>2288</v>
      </c>
      <c r="U1819" s="47" t="s">
        <v>458</v>
      </c>
      <c r="V1819" s="141">
        <v>863362</v>
      </c>
      <c r="W1819" s="139"/>
    </row>
    <row r="1820" spans="20:23" ht="12.75">
      <c r="T1820" s="47" t="s">
        <v>2285</v>
      </c>
      <c r="U1820" s="47" t="s">
        <v>3934</v>
      </c>
      <c r="V1820" s="141">
        <v>870579</v>
      </c>
      <c r="W1820" s="139"/>
    </row>
    <row r="1821" spans="20:23" ht="12.75">
      <c r="T1821" s="47" t="s">
        <v>2292</v>
      </c>
      <c r="U1821" s="47" t="s">
        <v>462</v>
      </c>
      <c r="V1821" s="141">
        <v>1007184</v>
      </c>
      <c r="W1821" s="139"/>
    </row>
    <row r="1822" spans="20:23" ht="12.75">
      <c r="T1822" s="47" t="s">
        <v>2298</v>
      </c>
      <c r="U1822" s="47" t="s">
        <v>468</v>
      </c>
      <c r="V1822" s="141">
        <v>1012816</v>
      </c>
      <c r="W1822" s="139"/>
    </row>
    <row r="1823" spans="20:23" ht="12.75">
      <c r="T1823" s="47" t="s">
        <v>2295</v>
      </c>
      <c r="U1823" s="47" t="s">
        <v>465</v>
      </c>
      <c r="V1823" s="141">
        <v>1020031</v>
      </c>
      <c r="W1823" s="139"/>
    </row>
    <row r="1824" spans="20:23" ht="12.75">
      <c r="T1824" s="47" t="s">
        <v>2304</v>
      </c>
      <c r="U1824" s="47" t="s">
        <v>3475</v>
      </c>
      <c r="V1824" s="141">
        <v>1037024</v>
      </c>
      <c r="W1824" s="139"/>
    </row>
    <row r="1825" spans="20:23" ht="12.75">
      <c r="T1825" s="47" t="s">
        <v>2301</v>
      </c>
      <c r="U1825" s="47" t="s">
        <v>471</v>
      </c>
      <c r="V1825" s="141">
        <v>1044242</v>
      </c>
      <c r="W1825" s="139"/>
    </row>
    <row r="1826" spans="20:23" ht="12.75">
      <c r="T1826" s="47" t="s">
        <v>1984</v>
      </c>
      <c r="U1826" s="47" t="s">
        <v>1985</v>
      </c>
      <c r="V1826" s="141">
        <v>1134222</v>
      </c>
      <c r="W1826" s="139"/>
    </row>
    <row r="1827" spans="20:23" ht="12.75">
      <c r="T1827" s="47" t="s">
        <v>2293</v>
      </c>
      <c r="U1827" s="47" t="s">
        <v>463</v>
      </c>
      <c r="V1827" s="141">
        <v>1046215</v>
      </c>
      <c r="W1827" s="139"/>
    </row>
    <row r="1828" spans="20:23" ht="12.75">
      <c r="T1828" s="47" t="s">
        <v>2299</v>
      </c>
      <c r="U1828" s="47" t="s">
        <v>469</v>
      </c>
      <c r="V1828" s="141">
        <v>1051845</v>
      </c>
      <c r="W1828" s="139"/>
    </row>
    <row r="1829" spans="20:23" ht="12.75">
      <c r="T1829" s="47" t="s">
        <v>2296</v>
      </c>
      <c r="U1829" s="47" t="s">
        <v>466</v>
      </c>
      <c r="V1829" s="141">
        <v>1059062</v>
      </c>
      <c r="W1829" s="139"/>
    </row>
    <row r="1830" spans="20:23" ht="12.75">
      <c r="T1830" s="47" t="s">
        <v>2305</v>
      </c>
      <c r="U1830" s="47" t="s">
        <v>3476</v>
      </c>
      <c r="V1830" s="141">
        <v>1076054</v>
      </c>
      <c r="W1830" s="139"/>
    </row>
    <row r="1831" spans="20:23" ht="12.75">
      <c r="T1831" s="47" t="s">
        <v>2302</v>
      </c>
      <c r="U1831" s="47" t="s">
        <v>3473</v>
      </c>
      <c r="V1831" s="141">
        <v>1083271</v>
      </c>
      <c r="W1831" s="139"/>
    </row>
    <row r="1832" spans="20:23" ht="12.75">
      <c r="T1832" s="47" t="s">
        <v>2291</v>
      </c>
      <c r="U1832" s="47" t="s">
        <v>461</v>
      </c>
      <c r="V1832" s="141">
        <v>1050787</v>
      </c>
      <c r="W1832" s="139"/>
    </row>
    <row r="1833" spans="20:23" ht="12.75">
      <c r="T1833" s="47" t="s">
        <v>2297</v>
      </c>
      <c r="U1833" s="47" t="s">
        <v>467</v>
      </c>
      <c r="V1833" s="141">
        <v>1056416</v>
      </c>
      <c r="W1833" s="139"/>
    </row>
    <row r="1834" spans="20:23" ht="12.75">
      <c r="T1834" s="47" t="s">
        <v>2294</v>
      </c>
      <c r="U1834" s="47" t="s">
        <v>464</v>
      </c>
      <c r="V1834" s="141">
        <v>1063635</v>
      </c>
      <c r="W1834" s="139"/>
    </row>
    <row r="1835" spans="20:23" ht="12.75">
      <c r="T1835" s="47" t="s">
        <v>2303</v>
      </c>
      <c r="U1835" s="47" t="s">
        <v>3474</v>
      </c>
      <c r="V1835" s="141">
        <v>1080625</v>
      </c>
      <c r="W1835" s="139"/>
    </row>
    <row r="1836" spans="20:23" ht="12.75">
      <c r="T1836" s="47" t="s">
        <v>2300</v>
      </c>
      <c r="U1836" s="47" t="s">
        <v>470</v>
      </c>
      <c r="V1836" s="141">
        <v>1087845</v>
      </c>
      <c r="W1836" s="139"/>
    </row>
    <row r="1837" spans="20:23" ht="12.75">
      <c r="T1837" s="47" t="s">
        <v>2306</v>
      </c>
      <c r="U1837" s="47" t="s">
        <v>3477</v>
      </c>
      <c r="V1837" s="141">
        <v>737579</v>
      </c>
      <c r="W1837" s="139"/>
    </row>
    <row r="1838" spans="20:23" ht="12.75">
      <c r="T1838" s="47" t="s">
        <v>2308</v>
      </c>
      <c r="U1838" s="47" t="s">
        <v>3479</v>
      </c>
      <c r="V1838" s="141">
        <v>743209</v>
      </c>
      <c r="W1838" s="139"/>
    </row>
    <row r="1839" spans="20:23" ht="12.75">
      <c r="T1839" s="47" t="s">
        <v>2307</v>
      </c>
      <c r="U1839" s="47" t="s">
        <v>3478</v>
      </c>
      <c r="V1839" s="141">
        <v>750424</v>
      </c>
      <c r="W1839" s="139"/>
    </row>
    <row r="1840" spans="20:23" ht="12.75">
      <c r="T1840" s="47" t="s">
        <v>2310</v>
      </c>
      <c r="U1840" s="47" t="s">
        <v>3481</v>
      </c>
      <c r="V1840" s="141">
        <v>767419</v>
      </c>
      <c r="W1840" s="139"/>
    </row>
    <row r="1841" spans="20:23" ht="12.75">
      <c r="T1841" s="47" t="s">
        <v>2309</v>
      </c>
      <c r="U1841" s="47" t="s">
        <v>3480</v>
      </c>
      <c r="V1841" s="141">
        <v>774635</v>
      </c>
      <c r="W1841" s="139"/>
    </row>
    <row r="1842" spans="20:23" ht="12.75">
      <c r="T1842" s="47" t="s">
        <v>1986</v>
      </c>
      <c r="U1842" s="47" t="s">
        <v>1987</v>
      </c>
      <c r="V1842" s="141">
        <v>864615</v>
      </c>
      <c r="W1842" s="139"/>
    </row>
    <row r="1843" spans="20:23" ht="12.75">
      <c r="T1843" s="47" t="s">
        <v>2311</v>
      </c>
      <c r="U1843" s="47" t="s">
        <v>3482</v>
      </c>
      <c r="V1843" s="141">
        <v>776399</v>
      </c>
      <c r="W1843" s="139"/>
    </row>
    <row r="1844" spans="20:23" ht="12.75">
      <c r="T1844" s="47" t="s">
        <v>2313</v>
      </c>
      <c r="U1844" s="47" t="s">
        <v>634</v>
      </c>
      <c r="V1844" s="141">
        <v>782030</v>
      </c>
      <c r="W1844" s="139"/>
    </row>
    <row r="1845" spans="20:23" ht="12.75">
      <c r="T1845" s="47" t="s">
        <v>2312</v>
      </c>
      <c r="U1845" s="47" t="s">
        <v>633</v>
      </c>
      <c r="V1845" s="141">
        <v>789246</v>
      </c>
      <c r="W1845" s="139"/>
    </row>
    <row r="1846" spans="20:23" ht="12.75">
      <c r="T1846" s="47" t="s">
        <v>2315</v>
      </c>
      <c r="U1846" s="47" t="s">
        <v>4565</v>
      </c>
      <c r="V1846" s="141">
        <v>806238</v>
      </c>
      <c r="W1846" s="139"/>
    </row>
    <row r="1847" spans="20:23" ht="12.75">
      <c r="T1847" s="47" t="s">
        <v>2314</v>
      </c>
      <c r="U1847" s="47" t="s">
        <v>635</v>
      </c>
      <c r="V1847" s="141">
        <v>813455</v>
      </c>
      <c r="W1847" s="139"/>
    </row>
    <row r="1848" spans="20:23" ht="12.75">
      <c r="T1848" s="47" t="s">
        <v>1988</v>
      </c>
      <c r="U1848" s="47" t="s">
        <v>1989</v>
      </c>
      <c r="V1848" s="141">
        <v>903435</v>
      </c>
      <c r="W1848" s="139"/>
    </row>
    <row r="1849" spans="20:23" ht="12.75">
      <c r="T1849" s="47" t="s">
        <v>2316</v>
      </c>
      <c r="U1849" s="47" t="s">
        <v>4566</v>
      </c>
      <c r="V1849" s="141">
        <v>685434</v>
      </c>
      <c r="W1849" s="139"/>
    </row>
    <row r="1850" spans="20:23" ht="12.75">
      <c r="T1850" s="47" t="s">
        <v>2318</v>
      </c>
      <c r="U1850" s="47" t="s">
        <v>636</v>
      </c>
      <c r="V1850" s="141">
        <v>691065</v>
      </c>
      <c r="W1850" s="139"/>
    </row>
    <row r="1851" spans="20:23" ht="12.75">
      <c r="T1851" s="47" t="s">
        <v>2317</v>
      </c>
      <c r="U1851" s="47" t="s">
        <v>4567</v>
      </c>
      <c r="V1851" s="141">
        <v>698281</v>
      </c>
      <c r="W1851" s="139"/>
    </row>
    <row r="1852" spans="20:23" ht="12.75">
      <c r="T1852" s="47" t="s">
        <v>2320</v>
      </c>
      <c r="U1852" s="47" t="s">
        <v>638</v>
      </c>
      <c r="V1852" s="141">
        <v>715274</v>
      </c>
      <c r="W1852" s="139"/>
    </row>
    <row r="1853" spans="20:23" ht="12.75">
      <c r="T1853" s="47" t="s">
        <v>2319</v>
      </c>
      <c r="U1853" s="47" t="s">
        <v>637</v>
      </c>
      <c r="V1853" s="141">
        <v>722490</v>
      </c>
      <c r="W1853" s="139"/>
    </row>
    <row r="1854" spans="20:23" ht="12.75">
      <c r="T1854" s="47" t="s">
        <v>1990</v>
      </c>
      <c r="U1854" s="47" t="s">
        <v>1991</v>
      </c>
      <c r="V1854" s="141">
        <v>812470</v>
      </c>
      <c r="W1854" s="139"/>
    </row>
    <row r="1855" spans="20:23" ht="12.75">
      <c r="T1855" s="47" t="s">
        <v>2321</v>
      </c>
      <c r="U1855" s="47" t="s">
        <v>639</v>
      </c>
      <c r="V1855" s="141">
        <v>817261</v>
      </c>
      <c r="W1855" s="139"/>
    </row>
    <row r="1856" spans="20:23" ht="12.75">
      <c r="T1856" s="47" t="s">
        <v>2323</v>
      </c>
      <c r="U1856" s="47" t="s">
        <v>4603</v>
      </c>
      <c r="V1856" s="141">
        <v>822891</v>
      </c>
      <c r="W1856" s="139"/>
    </row>
    <row r="1857" spans="20:23" ht="12.75">
      <c r="T1857" s="47" t="s">
        <v>2322</v>
      </c>
      <c r="U1857" s="47" t="s">
        <v>640</v>
      </c>
      <c r="V1857" s="141">
        <v>830109</v>
      </c>
      <c r="W1857" s="139"/>
    </row>
    <row r="1858" spans="20:23" ht="12.75">
      <c r="T1858" s="47" t="s">
        <v>2325</v>
      </c>
      <c r="U1858" s="47" t="s">
        <v>4605</v>
      </c>
      <c r="V1858" s="141">
        <v>847101</v>
      </c>
      <c r="W1858" s="139"/>
    </row>
    <row r="1859" spans="20:23" ht="12.75">
      <c r="T1859" s="47" t="s">
        <v>2324</v>
      </c>
      <c r="U1859" s="47" t="s">
        <v>4604</v>
      </c>
      <c r="V1859" s="141">
        <v>854319</v>
      </c>
      <c r="W1859" s="139"/>
    </row>
    <row r="1860" spans="20:23" ht="12.75">
      <c r="T1860" s="47" t="s">
        <v>1992</v>
      </c>
      <c r="U1860" s="47" t="s">
        <v>1993</v>
      </c>
      <c r="V1860" s="141">
        <v>944299</v>
      </c>
      <c r="W1860" s="139"/>
    </row>
    <row r="1861" spans="20:23" ht="12.75">
      <c r="T1861" s="47" t="s">
        <v>2326</v>
      </c>
      <c r="U1861" s="47" t="s">
        <v>4606</v>
      </c>
      <c r="V1861" s="141">
        <v>850363</v>
      </c>
      <c r="W1861" s="139"/>
    </row>
    <row r="1862" spans="20:23" ht="12.75">
      <c r="T1862" s="47" t="s">
        <v>2328</v>
      </c>
      <c r="U1862" s="47" t="s">
        <v>4608</v>
      </c>
      <c r="V1862" s="141">
        <v>855994</v>
      </c>
      <c r="W1862" s="139"/>
    </row>
    <row r="1863" spans="20:23" ht="12.75">
      <c r="T1863" s="47" t="s">
        <v>2327</v>
      </c>
      <c r="U1863" s="47" t="s">
        <v>4607</v>
      </c>
      <c r="V1863" s="141">
        <v>863210</v>
      </c>
      <c r="W1863" s="139"/>
    </row>
    <row r="1864" spans="20:23" ht="12.75">
      <c r="T1864" s="47" t="s">
        <v>2330</v>
      </c>
      <c r="U1864" s="47" t="s">
        <v>4610</v>
      </c>
      <c r="V1864" s="141">
        <v>880203</v>
      </c>
      <c r="W1864" s="139"/>
    </row>
    <row r="1865" spans="20:23" ht="12.75">
      <c r="T1865" s="47" t="s">
        <v>2329</v>
      </c>
      <c r="U1865" s="47" t="s">
        <v>4609</v>
      </c>
      <c r="V1865" s="141">
        <v>887420</v>
      </c>
      <c r="W1865" s="139"/>
    </row>
    <row r="1866" spans="20:23" ht="12.75">
      <c r="T1866" s="47" t="s">
        <v>1994</v>
      </c>
      <c r="U1866" s="47" t="s">
        <v>1995</v>
      </c>
      <c r="V1866" s="141">
        <v>977400</v>
      </c>
      <c r="W1866" s="139"/>
    </row>
    <row r="1867" spans="20:23" ht="12.75">
      <c r="T1867" s="47" t="s">
        <v>2331</v>
      </c>
      <c r="U1867" s="47" t="s">
        <v>1534</v>
      </c>
      <c r="V1867" s="141">
        <v>1070386</v>
      </c>
      <c r="W1867" s="139"/>
    </row>
    <row r="1868" spans="20:23" ht="12.75">
      <c r="T1868" s="47" t="s">
        <v>2333</v>
      </c>
      <c r="U1868" s="47" t="s">
        <v>1536</v>
      </c>
      <c r="V1868" s="141">
        <v>1076016</v>
      </c>
      <c r="W1868" s="139"/>
    </row>
    <row r="1869" spans="20:23" ht="12.75">
      <c r="T1869" s="47" t="s">
        <v>2332</v>
      </c>
      <c r="U1869" s="47" t="s">
        <v>1535</v>
      </c>
      <c r="V1869" s="141">
        <v>1083235</v>
      </c>
      <c r="W1869" s="139"/>
    </row>
    <row r="1870" spans="20:23" ht="12.75">
      <c r="T1870" s="47" t="s">
        <v>2335</v>
      </c>
      <c r="U1870" s="47" t="s">
        <v>1538</v>
      </c>
      <c r="V1870" s="141">
        <v>1100226</v>
      </c>
      <c r="W1870" s="139"/>
    </row>
    <row r="1871" spans="20:23" ht="12.75">
      <c r="T1871" s="47" t="s">
        <v>2334</v>
      </c>
      <c r="U1871" s="47" t="s">
        <v>1537</v>
      </c>
      <c r="V1871" s="141">
        <v>1107443</v>
      </c>
      <c r="W1871" s="139"/>
    </row>
    <row r="1872" spans="20:23" ht="12.75">
      <c r="T1872" s="47" t="s">
        <v>1996</v>
      </c>
      <c r="U1872" s="47" t="s">
        <v>1997</v>
      </c>
      <c r="V1872" s="141">
        <v>1197422</v>
      </c>
      <c r="W1872" s="139"/>
    </row>
    <row r="1873" spans="20:23" ht="12.75">
      <c r="T1873" s="47" t="s">
        <v>685</v>
      </c>
      <c r="U1873" s="47" t="s">
        <v>686</v>
      </c>
      <c r="V1873" s="141">
        <v>728110</v>
      </c>
      <c r="W1873" s="139"/>
    </row>
    <row r="1874" spans="20:23" ht="12.75">
      <c r="T1874" s="47" t="s">
        <v>687</v>
      </c>
      <c r="U1874" s="47" t="s">
        <v>688</v>
      </c>
      <c r="V1874" s="141">
        <v>734544</v>
      </c>
      <c r="W1874" s="139"/>
    </row>
    <row r="1875" spans="20:23" ht="12.75">
      <c r="T1875" s="47" t="s">
        <v>689</v>
      </c>
      <c r="U1875" s="47" t="s">
        <v>690</v>
      </c>
      <c r="V1875" s="141">
        <v>742793</v>
      </c>
      <c r="W1875" s="139"/>
    </row>
    <row r="1876" spans="20:23" ht="12.75">
      <c r="T1876" s="47" t="s">
        <v>691</v>
      </c>
      <c r="U1876" s="47" t="s">
        <v>692</v>
      </c>
      <c r="V1876" s="141">
        <v>762211</v>
      </c>
      <c r="W1876" s="139"/>
    </row>
    <row r="1877" spans="20:23" ht="12.75">
      <c r="T1877" s="47" t="s">
        <v>1466</v>
      </c>
      <c r="U1877" s="47" t="s">
        <v>1467</v>
      </c>
      <c r="V1877" s="141">
        <v>770460</v>
      </c>
      <c r="W1877" s="139"/>
    </row>
    <row r="1878" spans="20:23" ht="12.75">
      <c r="T1878" s="47" t="s">
        <v>1468</v>
      </c>
      <c r="U1878" s="47" t="s">
        <v>1469</v>
      </c>
      <c r="V1878" s="141">
        <v>89187</v>
      </c>
      <c r="W1878" s="139"/>
    </row>
    <row r="1879" spans="20:23" ht="12.75">
      <c r="T1879" s="47" t="s">
        <v>1470</v>
      </c>
      <c r="U1879" s="47" t="s">
        <v>1471</v>
      </c>
      <c r="V1879" s="141">
        <v>902767</v>
      </c>
      <c r="W1879" s="139"/>
    </row>
    <row r="1880" spans="20:23" ht="12.75">
      <c r="T1880" s="47" t="s">
        <v>1472</v>
      </c>
      <c r="U1880" s="47" t="s">
        <v>1473</v>
      </c>
      <c r="V1880" s="141">
        <v>909201</v>
      </c>
      <c r="W1880" s="139"/>
    </row>
    <row r="1881" spans="20:23" ht="12.75">
      <c r="T1881" s="47" t="s">
        <v>1474</v>
      </c>
      <c r="U1881" s="47" t="s">
        <v>1475</v>
      </c>
      <c r="V1881" s="141">
        <v>917448</v>
      </c>
      <c r="W1881" s="139"/>
    </row>
    <row r="1882" spans="20:23" ht="12.75">
      <c r="T1882" s="47" t="s">
        <v>1476</v>
      </c>
      <c r="U1882" s="47" t="s">
        <v>1477</v>
      </c>
      <c r="V1882" s="141">
        <v>936869</v>
      </c>
      <c r="W1882" s="139"/>
    </row>
    <row r="1883" spans="20:23" ht="12.75">
      <c r="T1883" s="47" t="s">
        <v>1478</v>
      </c>
      <c r="U1883" s="47" t="s">
        <v>1479</v>
      </c>
      <c r="V1883" s="141">
        <v>945117</v>
      </c>
      <c r="W1883" s="139"/>
    </row>
    <row r="1884" spans="20:23" ht="12.75">
      <c r="T1884" s="47" t="s">
        <v>1480</v>
      </c>
      <c r="U1884" s="47" t="s">
        <v>1481</v>
      </c>
      <c r="V1884" s="141">
        <v>1035097</v>
      </c>
      <c r="W1884" s="139"/>
    </row>
    <row r="1885" spans="20:23" ht="12.75">
      <c r="T1885" s="47" t="s">
        <v>1482</v>
      </c>
      <c r="U1885" s="47" t="s">
        <v>1483</v>
      </c>
      <c r="V1885" s="141">
        <v>783353</v>
      </c>
      <c r="W1885" s="139"/>
    </row>
    <row r="1886" spans="20:23" ht="12.75">
      <c r="T1886" s="47" t="s">
        <v>1484</v>
      </c>
      <c r="U1886" s="47" t="s">
        <v>1485</v>
      </c>
      <c r="V1886" s="141">
        <v>789788</v>
      </c>
      <c r="W1886" s="139"/>
    </row>
    <row r="1887" spans="20:23" ht="12.75">
      <c r="T1887" s="47" t="s">
        <v>1486</v>
      </c>
      <c r="U1887" s="47" t="s">
        <v>1487</v>
      </c>
      <c r="V1887" s="141">
        <v>798037</v>
      </c>
      <c r="W1887" s="139"/>
    </row>
    <row r="1888" spans="20:23" ht="12.75">
      <c r="T1888" s="47" t="s">
        <v>1488</v>
      </c>
      <c r="U1888" s="47" t="s">
        <v>1489</v>
      </c>
      <c r="V1888" s="141">
        <v>817456</v>
      </c>
      <c r="W1888" s="139"/>
    </row>
    <row r="1889" spans="20:23" ht="12.75">
      <c r="T1889" s="47" t="s">
        <v>1490</v>
      </c>
      <c r="U1889" s="47" t="s">
        <v>1491</v>
      </c>
      <c r="V1889" s="141">
        <v>825704</v>
      </c>
      <c r="W1889" s="139"/>
    </row>
    <row r="1890" spans="20:23" ht="12.75">
      <c r="T1890" s="47" t="s">
        <v>1492</v>
      </c>
      <c r="U1890" s="47" t="s">
        <v>1493</v>
      </c>
      <c r="V1890" s="141">
        <v>915683</v>
      </c>
      <c r="W1890" s="139"/>
    </row>
    <row r="1891" spans="20:23" ht="12.75">
      <c r="T1891" s="47" t="s">
        <v>1494</v>
      </c>
      <c r="U1891" s="47" t="s">
        <v>0</v>
      </c>
      <c r="V1891" s="141">
        <v>971845</v>
      </c>
      <c r="W1891" s="139"/>
    </row>
    <row r="1892" spans="20:23" ht="12.75">
      <c r="T1892" s="47" t="s">
        <v>1</v>
      </c>
      <c r="U1892" s="47" t="s">
        <v>2</v>
      </c>
      <c r="V1892" s="141">
        <v>978278</v>
      </c>
      <c r="W1892" s="139"/>
    </row>
    <row r="1893" spans="20:23" ht="12.75">
      <c r="T1893" s="47" t="s">
        <v>3</v>
      </c>
      <c r="U1893" s="47" t="s">
        <v>4</v>
      </c>
      <c r="V1893" s="141">
        <v>986525</v>
      </c>
      <c r="W1893" s="139"/>
    </row>
    <row r="1894" spans="20:23" ht="12.75">
      <c r="T1894" s="47" t="s">
        <v>5</v>
      </c>
      <c r="U1894" s="47" t="s">
        <v>6</v>
      </c>
      <c r="V1894" s="141">
        <v>1005945</v>
      </c>
      <c r="W1894" s="139"/>
    </row>
    <row r="1895" spans="20:23" ht="12.75">
      <c r="T1895" s="47" t="s">
        <v>7</v>
      </c>
      <c r="U1895" s="47" t="s">
        <v>8</v>
      </c>
      <c r="V1895" s="141">
        <v>1014194</v>
      </c>
      <c r="W1895" s="139"/>
    </row>
    <row r="1896" spans="20:23" ht="12.75">
      <c r="T1896" s="47" t="s">
        <v>9</v>
      </c>
      <c r="U1896" s="47" t="s">
        <v>10</v>
      </c>
      <c r="V1896" s="141">
        <v>1104174</v>
      </c>
      <c r="W1896" s="139"/>
    </row>
    <row r="1897" spans="20:23" ht="12.75">
      <c r="T1897" s="47" t="s">
        <v>2374</v>
      </c>
      <c r="U1897" s="47" t="s">
        <v>2151</v>
      </c>
      <c r="V1897" s="141">
        <v>69734</v>
      </c>
      <c r="W1897" s="337"/>
    </row>
    <row r="1898" spans="20:23" ht="12.75">
      <c r="T1898" s="47" t="s">
        <v>2375</v>
      </c>
      <c r="U1898" s="47" t="s">
        <v>2152</v>
      </c>
      <c r="V1898" s="141">
        <v>108763</v>
      </c>
      <c r="W1898" s="337"/>
    </row>
    <row r="1899" spans="20:23" ht="12.75">
      <c r="T1899" s="47" t="s">
        <v>2372</v>
      </c>
      <c r="U1899" s="47" t="s">
        <v>2149</v>
      </c>
      <c r="V1899" s="141">
        <v>113336</v>
      </c>
      <c r="W1899" s="337"/>
    </row>
    <row r="1900" spans="20:23" ht="12.75">
      <c r="T1900" s="47" t="s">
        <v>2373</v>
      </c>
      <c r="U1900" s="47" t="s">
        <v>2150</v>
      </c>
      <c r="V1900" s="141">
        <v>69734</v>
      </c>
      <c r="W1900" s="337"/>
    </row>
    <row r="1901" spans="20:23" ht="12.75">
      <c r="T1901" s="47" t="s">
        <v>11</v>
      </c>
      <c r="U1901" s="47" t="s">
        <v>12</v>
      </c>
      <c r="V1901" s="141">
        <v>79696</v>
      </c>
      <c r="W1901" s="139"/>
    </row>
    <row r="1902" spans="20:23" ht="12.75">
      <c r="T1902" s="47" t="s">
        <v>13</v>
      </c>
      <c r="U1902" s="47" t="s">
        <v>14</v>
      </c>
      <c r="V1902" s="141">
        <v>124301</v>
      </c>
      <c r="W1902" s="139"/>
    </row>
    <row r="1903" spans="20:23" ht="12.75">
      <c r="T1903" s="47" t="s">
        <v>15</v>
      </c>
      <c r="U1903" s="47" t="s">
        <v>16</v>
      </c>
      <c r="V1903" s="141">
        <v>129526</v>
      </c>
      <c r="W1903" s="139"/>
    </row>
    <row r="1904" spans="20:23" ht="12.75">
      <c r="T1904" s="47" t="s">
        <v>17</v>
      </c>
      <c r="U1904" s="47" t="s">
        <v>18</v>
      </c>
      <c r="V1904" s="141">
        <v>79696</v>
      </c>
      <c r="W1904" s="139"/>
    </row>
    <row r="1905" spans="20:23" ht="12.75">
      <c r="T1905" s="47" t="s">
        <v>4182</v>
      </c>
      <c r="U1905" s="47" t="s">
        <v>4302</v>
      </c>
      <c r="V1905" s="141">
        <v>89249</v>
      </c>
      <c r="W1905" s="139"/>
    </row>
    <row r="1906" spans="20:23" ht="12.75">
      <c r="T1906" s="47" t="s">
        <v>1886</v>
      </c>
      <c r="U1906" s="47" t="s">
        <v>4301</v>
      </c>
      <c r="V1906" s="141">
        <v>74813</v>
      </c>
      <c r="W1906" s="139"/>
    </row>
    <row r="1907" spans="20:23" ht="12.75">
      <c r="T1907" s="47" t="s">
        <v>1885</v>
      </c>
      <c r="U1907" s="47" t="s">
        <v>4300</v>
      </c>
      <c r="V1907" s="141">
        <v>76527</v>
      </c>
      <c r="W1907" s="139"/>
    </row>
    <row r="1908" spans="20:23" ht="12.75">
      <c r="T1908" s="47" t="s">
        <v>1882</v>
      </c>
      <c r="U1908" s="47" t="s">
        <v>4297</v>
      </c>
      <c r="V1908" s="141">
        <v>91536</v>
      </c>
      <c r="W1908" s="139"/>
    </row>
    <row r="1909" spans="20:23" ht="12.75">
      <c r="T1909" s="47" t="s">
        <v>4184</v>
      </c>
      <c r="U1909" s="47" t="s">
        <v>4304</v>
      </c>
      <c r="V1909" s="141">
        <v>59482</v>
      </c>
      <c r="W1909" s="139"/>
    </row>
    <row r="1910" spans="20:23" ht="12.75">
      <c r="T1910" s="47" t="s">
        <v>1884</v>
      </c>
      <c r="U1910" s="47" t="s">
        <v>4299</v>
      </c>
      <c r="V1910" s="141">
        <v>69734</v>
      </c>
      <c r="W1910" s="139"/>
    </row>
    <row r="1911" spans="20:23" ht="12.75">
      <c r="T1911" s="47" t="s">
        <v>1880</v>
      </c>
      <c r="U1911" s="47" t="s">
        <v>4295</v>
      </c>
      <c r="V1911" s="141">
        <v>74813</v>
      </c>
      <c r="W1911" s="139"/>
    </row>
    <row r="1912" spans="20:23" ht="12.75">
      <c r="T1912" s="47" t="s">
        <v>1876</v>
      </c>
      <c r="U1912" s="47" t="s">
        <v>4291</v>
      </c>
      <c r="V1912" s="141">
        <v>89249</v>
      </c>
      <c r="W1912" s="139"/>
    </row>
    <row r="1913" spans="20:23" ht="12.75">
      <c r="T1913" s="47" t="s">
        <v>1877</v>
      </c>
      <c r="U1913" s="47" t="s">
        <v>4292</v>
      </c>
      <c r="V1913" s="141">
        <v>91857</v>
      </c>
      <c r="W1913" s="139"/>
    </row>
    <row r="1914" spans="20:23" ht="12.75">
      <c r="T1914" s="47" t="s">
        <v>1878</v>
      </c>
      <c r="U1914" s="47" t="s">
        <v>4293</v>
      </c>
      <c r="V1914" s="141">
        <v>111050</v>
      </c>
      <c r="W1914" s="139"/>
    </row>
    <row r="1915" spans="20:23" ht="12.75">
      <c r="T1915" s="47" t="s">
        <v>1879</v>
      </c>
      <c r="U1915" s="47" t="s">
        <v>4294</v>
      </c>
      <c r="V1915" s="141">
        <v>74813</v>
      </c>
      <c r="W1915" s="139"/>
    </row>
    <row r="1916" spans="20:23" ht="12.75">
      <c r="T1916" s="47" t="s">
        <v>1881</v>
      </c>
      <c r="U1916" s="47" t="s">
        <v>4296</v>
      </c>
      <c r="V1916" s="141">
        <v>89249</v>
      </c>
      <c r="W1916" s="139"/>
    </row>
    <row r="1917" spans="20:23" ht="12.75">
      <c r="T1917" s="47" t="s">
        <v>1883</v>
      </c>
      <c r="U1917" s="47" t="s">
        <v>4298</v>
      </c>
      <c r="V1917" s="141">
        <v>76527</v>
      </c>
      <c r="W1917" s="139"/>
    </row>
    <row r="1918" spans="20:23" ht="12.75">
      <c r="T1918" s="47" t="s">
        <v>4190</v>
      </c>
      <c r="U1918" s="47" t="s">
        <v>2018</v>
      </c>
      <c r="V1918" s="141">
        <v>91536</v>
      </c>
      <c r="W1918" s="139"/>
    </row>
    <row r="1919" spans="20:23" ht="12.75">
      <c r="T1919" s="47" t="s">
        <v>4194</v>
      </c>
      <c r="U1919" s="47" t="s">
        <v>2022</v>
      </c>
      <c r="V1919" s="141">
        <v>91857</v>
      </c>
      <c r="W1919" s="139"/>
    </row>
    <row r="1920" spans="20:23" ht="12.75">
      <c r="T1920" s="47" t="s">
        <v>4192</v>
      </c>
      <c r="U1920" s="47" t="s">
        <v>2020</v>
      </c>
      <c r="V1920" s="141">
        <v>111050</v>
      </c>
      <c r="W1920" s="139"/>
    </row>
    <row r="1921" spans="20:23" ht="12.75">
      <c r="T1921" s="47" t="s">
        <v>4193</v>
      </c>
      <c r="U1921" s="47" t="s">
        <v>2021</v>
      </c>
      <c r="V1921" s="141">
        <v>76527</v>
      </c>
      <c r="W1921" s="139"/>
    </row>
    <row r="1922" spans="20:23" ht="12.75">
      <c r="T1922" s="47" t="s">
        <v>4191</v>
      </c>
      <c r="U1922" s="47" t="s">
        <v>2019</v>
      </c>
      <c r="V1922" s="141">
        <v>91536</v>
      </c>
      <c r="W1922" s="139"/>
    </row>
    <row r="1923" spans="20:23" ht="12.75">
      <c r="T1923" s="47" t="s">
        <v>4189</v>
      </c>
      <c r="U1923" s="47" t="s">
        <v>4309</v>
      </c>
      <c r="V1923" s="141">
        <v>59482</v>
      </c>
      <c r="W1923" s="139"/>
    </row>
    <row r="1924" spans="20:23" ht="12.75">
      <c r="T1924" s="47" t="s">
        <v>4188</v>
      </c>
      <c r="U1924" s="47" t="s">
        <v>4308</v>
      </c>
      <c r="V1924" s="141">
        <v>69734</v>
      </c>
      <c r="W1924" s="139"/>
    </row>
    <row r="1925" spans="20:23" ht="12.75">
      <c r="T1925" s="47" t="s">
        <v>4187</v>
      </c>
      <c r="U1925" s="47" t="s">
        <v>4307</v>
      </c>
      <c r="V1925" s="141">
        <v>74813</v>
      </c>
      <c r="W1925" s="139"/>
    </row>
    <row r="1926" spans="20:23" ht="12.75">
      <c r="T1926" s="47" t="s">
        <v>4186</v>
      </c>
      <c r="U1926" s="47" t="s">
        <v>4306</v>
      </c>
      <c r="V1926" s="141">
        <v>89249</v>
      </c>
      <c r="W1926" s="139"/>
    </row>
    <row r="1927" spans="20:23" ht="12.75">
      <c r="T1927" s="47" t="s">
        <v>4185</v>
      </c>
      <c r="U1927" s="47" t="s">
        <v>4305</v>
      </c>
      <c r="V1927" s="141">
        <v>76527</v>
      </c>
      <c r="W1927" s="139"/>
    </row>
    <row r="1928" spans="20:23" ht="12.75">
      <c r="T1928" s="47" t="s">
        <v>4183</v>
      </c>
      <c r="U1928" s="47" t="s">
        <v>4303</v>
      </c>
      <c r="V1928" s="141">
        <v>91536</v>
      </c>
      <c r="W1928" s="139"/>
    </row>
    <row r="1929" spans="20:23" ht="12.75">
      <c r="T1929" s="47" t="s">
        <v>2222</v>
      </c>
      <c r="U1929" s="47" t="s">
        <v>1122</v>
      </c>
      <c r="V1929" s="141">
        <v>56209</v>
      </c>
      <c r="W1929" s="337"/>
    </row>
    <row r="1930" spans="20:23" ht="12.75">
      <c r="T1930" s="47" t="s">
        <v>2232</v>
      </c>
      <c r="U1930" s="47" t="s">
        <v>4062</v>
      </c>
      <c r="V1930" s="141">
        <v>106279</v>
      </c>
      <c r="W1930" s="337"/>
    </row>
    <row r="1931" spans="20:23" ht="12.75">
      <c r="T1931" s="47" t="s">
        <v>1052</v>
      </c>
      <c r="U1931" s="47" t="s">
        <v>4063</v>
      </c>
      <c r="V1931" s="141">
        <v>178403</v>
      </c>
      <c r="W1931" s="337"/>
    </row>
    <row r="1932" spans="20:23" ht="12.75">
      <c r="T1932" s="47" t="s">
        <v>1053</v>
      </c>
      <c r="U1932" s="47" t="s">
        <v>4064</v>
      </c>
      <c r="V1932" s="141">
        <v>248556</v>
      </c>
      <c r="W1932" s="337"/>
    </row>
    <row r="1933" spans="20:23" ht="12.75">
      <c r="T1933" s="47" t="s">
        <v>1054</v>
      </c>
      <c r="U1933" s="47" t="s">
        <v>4065</v>
      </c>
      <c r="V1933" s="141">
        <v>652622</v>
      </c>
      <c r="W1933" s="337"/>
    </row>
    <row r="1934" spans="20:23" ht="12.75">
      <c r="T1934" s="47" t="s">
        <v>2223</v>
      </c>
      <c r="U1934" s="47" t="s">
        <v>1123</v>
      </c>
      <c r="V1934" s="141">
        <v>81665</v>
      </c>
      <c r="W1934" s="337"/>
    </row>
    <row r="1935" spans="20:23" ht="12.75">
      <c r="T1935" s="47" t="s">
        <v>1058</v>
      </c>
      <c r="U1935" s="47" t="s">
        <v>4069</v>
      </c>
      <c r="V1935" s="141">
        <v>133487</v>
      </c>
      <c r="W1935" s="337"/>
    </row>
    <row r="1936" spans="20:23" ht="12.75">
      <c r="T1936" s="47" t="s">
        <v>1057</v>
      </c>
      <c r="U1936" s="47" t="s">
        <v>4068</v>
      </c>
      <c r="V1936" s="141">
        <v>255086</v>
      </c>
      <c r="W1936" s="337"/>
    </row>
    <row r="1937" spans="20:23" ht="12.75">
      <c r="T1937" s="47" t="s">
        <v>1056</v>
      </c>
      <c r="U1937" s="47" t="s">
        <v>4067</v>
      </c>
      <c r="V1937" s="141">
        <v>340592</v>
      </c>
      <c r="W1937" s="337"/>
    </row>
    <row r="1938" spans="20:23" ht="12.75">
      <c r="T1938" s="47" t="s">
        <v>1055</v>
      </c>
      <c r="U1938" s="47" t="s">
        <v>4066</v>
      </c>
      <c r="V1938" s="141">
        <v>810398</v>
      </c>
      <c r="W1938" s="337"/>
    </row>
    <row r="1939" spans="20:23" ht="12.75">
      <c r="T1939" s="47" t="s">
        <v>3237</v>
      </c>
      <c r="U1939" s="47" t="s">
        <v>4131</v>
      </c>
      <c r="V1939" s="141">
        <v>42145</v>
      </c>
      <c r="W1939" s="337"/>
    </row>
    <row r="1940" spans="20:23" ht="12.75">
      <c r="T1940" s="47" t="s">
        <v>1998</v>
      </c>
      <c r="U1940" s="47" t="s">
        <v>1999</v>
      </c>
      <c r="V1940" s="141">
        <v>49224</v>
      </c>
      <c r="W1940" s="139"/>
    </row>
    <row r="1941" spans="20:23" ht="12.75">
      <c r="T1941" s="47" t="s">
        <v>3278</v>
      </c>
      <c r="U1941" s="47" t="s">
        <v>2691</v>
      </c>
      <c r="V1941" s="141">
        <v>47860</v>
      </c>
      <c r="W1941" s="337"/>
    </row>
    <row r="1942" spans="20:23" ht="12.75">
      <c r="T1942" s="47" t="s">
        <v>3353</v>
      </c>
      <c r="U1942" s="47" t="s">
        <v>2079</v>
      </c>
      <c r="V1942" s="141">
        <v>52474</v>
      </c>
      <c r="W1942" s="337"/>
    </row>
    <row r="1943" spans="20:23" ht="12.75">
      <c r="T1943" s="47" t="s">
        <v>3238</v>
      </c>
      <c r="U1943" s="47" t="s">
        <v>4132</v>
      </c>
      <c r="V1943" s="141">
        <v>55623</v>
      </c>
      <c r="W1943" s="337"/>
    </row>
    <row r="1944" spans="20:23" ht="12.75">
      <c r="T1944" s="47" t="s">
        <v>2001</v>
      </c>
      <c r="U1944" s="47" t="s">
        <v>2002</v>
      </c>
      <c r="V1944" s="141">
        <v>62701</v>
      </c>
      <c r="W1944" s="139"/>
    </row>
    <row r="1945" spans="20:23" ht="12.75">
      <c r="T1945" s="47" t="s">
        <v>3277</v>
      </c>
      <c r="U1945" s="47" t="s">
        <v>2690</v>
      </c>
      <c r="V1945" s="141">
        <v>61338</v>
      </c>
      <c r="W1945" s="337"/>
    </row>
    <row r="1946" spans="20:23" ht="12.75">
      <c r="T1946" s="47" t="s">
        <v>3352</v>
      </c>
      <c r="U1946" s="47" t="s">
        <v>2078</v>
      </c>
      <c r="V1946" s="141">
        <v>65952</v>
      </c>
      <c r="W1946" s="337"/>
    </row>
    <row r="1947" spans="20:23" ht="12.75">
      <c r="T1947" s="47" t="s">
        <v>3312</v>
      </c>
      <c r="U1947" s="47" t="s">
        <v>3175</v>
      </c>
      <c r="V1947" s="141">
        <v>48261</v>
      </c>
      <c r="W1947" s="337"/>
    </row>
    <row r="1948" spans="20:23" ht="12.75">
      <c r="T1948" s="47" t="s">
        <v>2003</v>
      </c>
      <c r="U1948" s="47" t="s">
        <v>2004</v>
      </c>
      <c r="V1948" s="141">
        <v>57961</v>
      </c>
      <c r="W1948" s="139"/>
    </row>
    <row r="1949" spans="20:23" ht="12.75">
      <c r="T1949" s="47" t="s">
        <v>3313</v>
      </c>
      <c r="U1949" s="47" t="s">
        <v>3429</v>
      </c>
      <c r="V1949" s="141">
        <v>56209</v>
      </c>
      <c r="W1949" s="337"/>
    </row>
    <row r="1950" spans="20:23" ht="12.75">
      <c r="T1950" s="47" t="s">
        <v>2005</v>
      </c>
      <c r="U1950" s="47" t="s">
        <v>2006</v>
      </c>
      <c r="V1950" s="141">
        <v>65907</v>
      </c>
      <c r="W1950" s="139"/>
    </row>
    <row r="1951" spans="20:23" ht="12.75">
      <c r="T1951" s="47" t="s">
        <v>3240</v>
      </c>
      <c r="U1951" s="47" t="s">
        <v>4134</v>
      </c>
      <c r="V1951" s="141">
        <v>67288</v>
      </c>
      <c r="W1951" s="337"/>
    </row>
    <row r="1952" spans="20:23" ht="12.75">
      <c r="T1952" s="47" t="s">
        <v>3275</v>
      </c>
      <c r="U1952" s="47" t="s">
        <v>4169</v>
      </c>
      <c r="V1952" s="141">
        <v>73005</v>
      </c>
      <c r="W1952" s="337"/>
    </row>
    <row r="1953" spans="20:23" ht="12.75">
      <c r="T1953" s="47" t="s">
        <v>2946</v>
      </c>
      <c r="U1953" s="47" t="s">
        <v>2089</v>
      </c>
      <c r="V1953" s="141">
        <v>79453</v>
      </c>
      <c r="W1953" s="337"/>
    </row>
    <row r="1954" spans="20:23" ht="12.75">
      <c r="T1954" s="47" t="s">
        <v>832</v>
      </c>
      <c r="U1954" s="47" t="s">
        <v>3395</v>
      </c>
      <c r="V1954" s="141">
        <v>71808</v>
      </c>
      <c r="W1954" s="139"/>
    </row>
    <row r="1955" spans="20:23" ht="12.75">
      <c r="T1955" s="47" t="s">
        <v>3276</v>
      </c>
      <c r="U1955" s="47" t="s">
        <v>2689</v>
      </c>
      <c r="V1955" s="141">
        <v>77522</v>
      </c>
      <c r="W1955" s="337"/>
    </row>
    <row r="1956" spans="20:23" ht="12.75">
      <c r="T1956" s="47" t="s">
        <v>3354</v>
      </c>
      <c r="U1956" s="47" t="s">
        <v>2080</v>
      </c>
      <c r="V1956" s="141">
        <v>83973</v>
      </c>
      <c r="W1956" s="337"/>
    </row>
    <row r="1957" spans="20:23" ht="12.75">
      <c r="T1957" s="47" t="s">
        <v>3241</v>
      </c>
      <c r="U1957" s="47" t="s">
        <v>4135</v>
      </c>
      <c r="V1957" s="141">
        <v>86910</v>
      </c>
      <c r="W1957" s="337"/>
    </row>
    <row r="1958" spans="20:23" ht="12.75">
      <c r="T1958" s="47" t="s">
        <v>3284</v>
      </c>
      <c r="U1958" s="47" t="s">
        <v>2697</v>
      </c>
      <c r="V1958" s="141">
        <v>92627</v>
      </c>
      <c r="W1958" s="337"/>
    </row>
    <row r="1959" spans="20:23" ht="12.75">
      <c r="T1959" s="47" t="s">
        <v>2945</v>
      </c>
      <c r="U1959" s="47" t="s">
        <v>2088</v>
      </c>
      <c r="V1959" s="141">
        <v>99077</v>
      </c>
      <c r="W1959" s="337"/>
    </row>
    <row r="1960" spans="20:23" ht="12.75">
      <c r="T1960" s="47" t="s">
        <v>3239</v>
      </c>
      <c r="U1960" s="47" t="s">
        <v>4133</v>
      </c>
      <c r="V1960" s="141">
        <v>91793</v>
      </c>
      <c r="W1960" s="337"/>
    </row>
    <row r="1961" spans="20:23" ht="12.75">
      <c r="T1961" s="47" t="s">
        <v>3283</v>
      </c>
      <c r="U1961" s="47" t="s">
        <v>2696</v>
      </c>
      <c r="V1961" s="141">
        <v>97508</v>
      </c>
      <c r="W1961" s="337"/>
    </row>
    <row r="1962" spans="20:23" ht="12.75">
      <c r="T1962" s="47" t="s">
        <v>3355</v>
      </c>
      <c r="U1962" s="47" t="s">
        <v>2081</v>
      </c>
      <c r="V1962" s="141">
        <v>103959</v>
      </c>
      <c r="W1962" s="337"/>
    </row>
    <row r="1963" spans="20:23" ht="12.75">
      <c r="T1963" s="47" t="s">
        <v>3242</v>
      </c>
      <c r="U1963" s="47" t="s">
        <v>4136</v>
      </c>
      <c r="V1963" s="141">
        <v>91084</v>
      </c>
      <c r="W1963" s="337"/>
    </row>
    <row r="1964" spans="20:23" ht="12.75">
      <c r="T1964" s="47" t="s">
        <v>3287</v>
      </c>
      <c r="U1964" s="47" t="s">
        <v>2700</v>
      </c>
      <c r="V1964" s="141">
        <v>96800</v>
      </c>
      <c r="W1964" s="337"/>
    </row>
    <row r="1965" spans="20:23" ht="12.75">
      <c r="T1965" s="47" t="s">
        <v>4891</v>
      </c>
      <c r="U1965" s="47" t="s">
        <v>2087</v>
      </c>
      <c r="V1965" s="141">
        <v>103250</v>
      </c>
      <c r="W1965" s="337"/>
    </row>
    <row r="1966" spans="20:23" ht="12.75">
      <c r="T1966" s="47" t="s">
        <v>3321</v>
      </c>
      <c r="U1966" s="47" t="s">
        <v>2983</v>
      </c>
      <c r="V1966" s="141">
        <v>70664</v>
      </c>
      <c r="W1966" s="337"/>
    </row>
    <row r="1967" spans="20:23" ht="12.75">
      <c r="T1967" s="47" t="s">
        <v>3319</v>
      </c>
      <c r="U1967" s="47" t="s">
        <v>3435</v>
      </c>
      <c r="V1967" s="141">
        <v>83406</v>
      </c>
      <c r="W1967" s="337"/>
    </row>
    <row r="1968" spans="20:23" ht="12.75">
      <c r="T1968" s="47" t="s">
        <v>3320</v>
      </c>
      <c r="U1968" s="47" t="s">
        <v>2982</v>
      </c>
      <c r="V1968" s="141">
        <v>98786</v>
      </c>
      <c r="W1968" s="337"/>
    </row>
    <row r="1969" spans="20:23" ht="12.75">
      <c r="T1969" s="47" t="s">
        <v>3318</v>
      </c>
      <c r="U1969" s="47" t="s">
        <v>3434</v>
      </c>
      <c r="V1969" s="141">
        <v>106279</v>
      </c>
      <c r="W1969" s="337"/>
    </row>
    <row r="1970" spans="20:23" ht="12.75">
      <c r="T1970" s="47" t="s">
        <v>3322</v>
      </c>
      <c r="U1970" s="47" t="s">
        <v>2984</v>
      </c>
      <c r="V1970" s="141">
        <v>125299</v>
      </c>
      <c r="W1970" s="337"/>
    </row>
    <row r="1971" spans="20:23" ht="12.75">
      <c r="T1971" s="47" t="s">
        <v>3245</v>
      </c>
      <c r="U1971" s="47" t="s">
        <v>4139</v>
      </c>
      <c r="V1971" s="141">
        <v>72766</v>
      </c>
      <c r="W1971" s="337"/>
    </row>
    <row r="1972" spans="20:23" ht="12.75">
      <c r="T1972" s="47" t="s">
        <v>3292</v>
      </c>
      <c r="U1972" s="47" t="s">
        <v>2705</v>
      </c>
      <c r="V1972" s="141">
        <v>87953</v>
      </c>
      <c r="W1972" s="337"/>
    </row>
    <row r="1973" spans="20:23" ht="12.75">
      <c r="T1973" s="47" t="s">
        <v>2044</v>
      </c>
      <c r="U1973" s="47" t="s">
        <v>2410</v>
      </c>
      <c r="V1973" s="141">
        <v>91423</v>
      </c>
      <c r="W1973" s="337"/>
    </row>
    <row r="1974" spans="20:23" ht="12.75">
      <c r="T1974" s="47" t="s">
        <v>3246</v>
      </c>
      <c r="U1974" s="47" t="s">
        <v>4140</v>
      </c>
      <c r="V1974" s="141">
        <v>101346</v>
      </c>
      <c r="W1974" s="337"/>
    </row>
    <row r="1975" spans="20:23" ht="12.75">
      <c r="T1975" s="47" t="s">
        <v>3301</v>
      </c>
      <c r="U1975" s="47" t="s">
        <v>4914</v>
      </c>
      <c r="V1975" s="141">
        <v>116533</v>
      </c>
      <c r="W1975" s="337"/>
    </row>
    <row r="1976" spans="20:23" ht="12.75">
      <c r="T1976" s="47" t="s">
        <v>2043</v>
      </c>
      <c r="U1976" s="47" t="s">
        <v>2409</v>
      </c>
      <c r="V1976" s="141">
        <v>120004</v>
      </c>
      <c r="W1976" s="337"/>
    </row>
    <row r="1977" spans="20:23" ht="12.75">
      <c r="T1977" s="47" t="s">
        <v>3247</v>
      </c>
      <c r="U1977" s="47" t="s">
        <v>4141</v>
      </c>
      <c r="V1977" s="141">
        <v>108180</v>
      </c>
      <c r="W1977" s="337"/>
    </row>
    <row r="1978" spans="20:23" ht="12.75">
      <c r="T1978" s="47" t="s">
        <v>3300</v>
      </c>
      <c r="U1978" s="47" t="s">
        <v>4913</v>
      </c>
      <c r="V1978" s="141">
        <v>123367</v>
      </c>
      <c r="W1978" s="337"/>
    </row>
    <row r="1979" spans="20:23" ht="12.75">
      <c r="T1979" s="47" t="s">
        <v>2958</v>
      </c>
      <c r="U1979" s="47" t="s">
        <v>2101</v>
      </c>
      <c r="V1979" s="141">
        <v>126836</v>
      </c>
      <c r="W1979" s="337"/>
    </row>
    <row r="1980" spans="20:23" ht="12.75">
      <c r="T1980" s="47" t="s">
        <v>3243</v>
      </c>
      <c r="U1980" s="47" t="s">
        <v>4137</v>
      </c>
      <c r="V1980" s="141">
        <v>120353</v>
      </c>
      <c r="W1980" s="337"/>
    </row>
    <row r="1981" spans="20:23" ht="12.75">
      <c r="T1981" s="47" t="s">
        <v>3288</v>
      </c>
      <c r="U1981" s="47" t="s">
        <v>2701</v>
      </c>
      <c r="V1981" s="141">
        <v>135540</v>
      </c>
      <c r="W1981" s="337"/>
    </row>
    <row r="1982" spans="20:23" ht="12.75">
      <c r="T1982" s="47" t="s">
        <v>2947</v>
      </c>
      <c r="U1982" s="47" t="s">
        <v>2090</v>
      </c>
      <c r="V1982" s="141">
        <v>139010</v>
      </c>
      <c r="W1982" s="337"/>
    </row>
    <row r="1983" spans="20:23" ht="12.75">
      <c r="T1983" s="47" t="s">
        <v>3248</v>
      </c>
      <c r="U1983" s="47" t="s">
        <v>4142</v>
      </c>
      <c r="V1983" s="141">
        <v>146961</v>
      </c>
      <c r="W1983" s="337"/>
    </row>
    <row r="1984" spans="20:23" ht="12.75">
      <c r="T1984" s="47" t="s">
        <v>3299</v>
      </c>
      <c r="U1984" s="47" t="s">
        <v>4912</v>
      </c>
      <c r="V1984" s="141">
        <v>162148</v>
      </c>
      <c r="W1984" s="337"/>
    </row>
    <row r="1985" spans="20:23" ht="12.75">
      <c r="T1985" s="47" t="s">
        <v>2957</v>
      </c>
      <c r="U1985" s="47" t="s">
        <v>2100</v>
      </c>
      <c r="V1985" s="141">
        <v>165618</v>
      </c>
      <c r="W1985" s="337"/>
    </row>
    <row r="1986" spans="20:23" ht="12.75">
      <c r="T1986" s="47" t="s">
        <v>3244</v>
      </c>
      <c r="U1986" s="47" t="s">
        <v>4138</v>
      </c>
      <c r="V1986" s="141">
        <v>134753</v>
      </c>
      <c r="W1986" s="337"/>
    </row>
    <row r="1987" spans="20:23" ht="12.75">
      <c r="T1987" s="47" t="s">
        <v>3291</v>
      </c>
      <c r="U1987" s="47" t="s">
        <v>2704</v>
      </c>
      <c r="V1987" s="141">
        <v>149940</v>
      </c>
      <c r="W1987" s="337"/>
    </row>
    <row r="1988" spans="20:23" ht="12.75">
      <c r="T1988" s="47" t="s">
        <v>2948</v>
      </c>
      <c r="U1988" s="47" t="s">
        <v>2091</v>
      </c>
      <c r="V1988" s="141">
        <v>153410</v>
      </c>
      <c r="W1988" s="337"/>
    </row>
    <row r="1989" spans="20:23" ht="12.75">
      <c r="T1989" s="47" t="s">
        <v>3249</v>
      </c>
      <c r="U1989" s="47" t="s">
        <v>4143</v>
      </c>
      <c r="V1989" s="141">
        <v>194931</v>
      </c>
      <c r="W1989" s="337"/>
    </row>
    <row r="1990" spans="20:23" ht="12.75">
      <c r="T1990" s="47" t="s">
        <v>3298</v>
      </c>
      <c r="U1990" s="47" t="s">
        <v>4911</v>
      </c>
      <c r="V1990" s="141">
        <v>210119</v>
      </c>
      <c r="W1990" s="337"/>
    </row>
    <row r="1991" spans="20:23" ht="12.75">
      <c r="T1991" s="47" t="s">
        <v>2956</v>
      </c>
      <c r="U1991" s="47" t="s">
        <v>2099</v>
      </c>
      <c r="V1991" s="141">
        <v>213590</v>
      </c>
      <c r="W1991" s="337"/>
    </row>
    <row r="1992" spans="20:23" ht="12.75">
      <c r="T1992" s="47" t="s">
        <v>3330</v>
      </c>
      <c r="U1992" s="47" t="s">
        <v>2056</v>
      </c>
      <c r="V1992" s="141">
        <v>73594</v>
      </c>
      <c r="W1992" s="337"/>
    </row>
    <row r="1993" spans="20:23" ht="12.75">
      <c r="T1993" s="47" t="s">
        <v>3333</v>
      </c>
      <c r="U1993" s="47" t="s">
        <v>2059</v>
      </c>
      <c r="V1993" s="141">
        <v>105108</v>
      </c>
      <c r="W1993" s="337"/>
    </row>
    <row r="1994" spans="20:23" ht="12.75">
      <c r="T1994" s="47" t="s">
        <v>3331</v>
      </c>
      <c r="U1994" s="47" t="s">
        <v>2057</v>
      </c>
      <c r="V1994" s="141">
        <v>123549</v>
      </c>
      <c r="W1994" s="337"/>
    </row>
    <row r="1995" spans="20:23" ht="12.75">
      <c r="T1995" s="47" t="s">
        <v>3329</v>
      </c>
      <c r="U1995" s="47" t="s">
        <v>2055</v>
      </c>
      <c r="V1995" s="141">
        <v>141536</v>
      </c>
      <c r="W1995" s="337"/>
    </row>
    <row r="1996" spans="20:23" ht="12.75">
      <c r="T1996" s="47" t="s">
        <v>3334</v>
      </c>
      <c r="U1996" s="47" t="s">
        <v>2060</v>
      </c>
      <c r="V1996" s="141">
        <v>170910</v>
      </c>
      <c r="W1996" s="337"/>
    </row>
    <row r="1997" spans="20:23" ht="12.75">
      <c r="T1997" s="47" t="s">
        <v>3328</v>
      </c>
      <c r="U1997" s="47" t="s">
        <v>2054</v>
      </c>
      <c r="V1997" s="141">
        <v>178403</v>
      </c>
      <c r="W1997" s="337"/>
    </row>
    <row r="1998" spans="20:23" ht="12.75">
      <c r="T1998" s="47" t="s">
        <v>3332</v>
      </c>
      <c r="U1998" s="47" t="s">
        <v>2058</v>
      </c>
      <c r="V1998" s="141">
        <v>193077</v>
      </c>
      <c r="W1998" s="337"/>
    </row>
    <row r="1999" spans="20:23" ht="12.75">
      <c r="T1999" s="47" t="s">
        <v>3251</v>
      </c>
      <c r="U1999" s="47" t="s">
        <v>4145</v>
      </c>
      <c r="V1999" s="141">
        <v>221225</v>
      </c>
      <c r="W1999" s="337"/>
    </row>
    <row r="2000" spans="20:23" ht="12.75">
      <c r="T2000" s="47" t="s">
        <v>3304</v>
      </c>
      <c r="U2000" s="47" t="s">
        <v>4917</v>
      </c>
      <c r="V2000" s="141">
        <v>244660</v>
      </c>
      <c r="W2000" s="337"/>
    </row>
    <row r="2001" spans="20:23" ht="12.75">
      <c r="T2001" s="47" t="s">
        <v>2221</v>
      </c>
      <c r="U2001" s="47" t="s">
        <v>1121</v>
      </c>
      <c r="V2001" s="141">
        <v>248089</v>
      </c>
      <c r="W2001" s="337"/>
    </row>
    <row r="2002" spans="20:23" ht="12.75">
      <c r="T2002" s="47" t="s">
        <v>3250</v>
      </c>
      <c r="U2002" s="47" t="s">
        <v>4144</v>
      </c>
      <c r="V2002" s="141">
        <v>226880</v>
      </c>
      <c r="W2002" s="337"/>
    </row>
    <row r="2003" spans="20:23" ht="12.75">
      <c r="T2003" s="47" t="s">
        <v>3303</v>
      </c>
      <c r="U2003" s="47" t="s">
        <v>4916</v>
      </c>
      <c r="V2003" s="141">
        <v>250314</v>
      </c>
      <c r="W2003" s="337"/>
    </row>
    <row r="2004" spans="20:23" ht="12.75">
      <c r="T2004" s="47" t="s">
        <v>2046</v>
      </c>
      <c r="U2004" s="47" t="s">
        <v>2412</v>
      </c>
      <c r="V2004" s="141">
        <v>253743</v>
      </c>
      <c r="W2004" s="337"/>
    </row>
    <row r="2005" spans="20:23" ht="12.75">
      <c r="T2005" s="47" t="s">
        <v>3252</v>
      </c>
      <c r="U2005" s="47" t="s">
        <v>4146</v>
      </c>
      <c r="V2005" s="141">
        <v>266074</v>
      </c>
      <c r="W2005" s="337"/>
    </row>
    <row r="2006" spans="20:23" ht="12.75">
      <c r="T2006" s="47" t="s">
        <v>3305</v>
      </c>
      <c r="U2006" s="47" t="s">
        <v>4918</v>
      </c>
      <c r="V2006" s="141">
        <v>289507</v>
      </c>
      <c r="W2006" s="337"/>
    </row>
    <row r="2007" spans="20:23" ht="12.75">
      <c r="T2007" s="47" t="s">
        <v>2053</v>
      </c>
      <c r="U2007" s="47" t="s">
        <v>1120</v>
      </c>
      <c r="V2007" s="141">
        <v>292936</v>
      </c>
      <c r="W2007" s="337"/>
    </row>
    <row r="2008" spans="20:23" ht="12.75">
      <c r="T2008" s="47" t="s">
        <v>3345</v>
      </c>
      <c r="U2008" s="47" t="s">
        <v>2071</v>
      </c>
      <c r="V2008" s="141">
        <v>233193</v>
      </c>
      <c r="W2008" s="337"/>
    </row>
    <row r="2009" spans="20:23" ht="12.75">
      <c r="T2009" s="47" t="s">
        <v>3254</v>
      </c>
      <c r="U2009" s="47" t="s">
        <v>4148</v>
      </c>
      <c r="V2009" s="141">
        <v>598628</v>
      </c>
      <c r="W2009" s="337"/>
    </row>
    <row r="2010" spans="20:23" ht="12.75">
      <c r="T2010" s="47" t="s">
        <v>3340</v>
      </c>
      <c r="U2010" s="47" t="s">
        <v>2066</v>
      </c>
      <c r="V2010" s="141">
        <v>248556</v>
      </c>
      <c r="W2010" s="337"/>
    </row>
    <row r="2011" spans="20:23" ht="12.75">
      <c r="T2011" s="47" t="s">
        <v>3310</v>
      </c>
      <c r="U2011" s="47" t="s">
        <v>3173</v>
      </c>
      <c r="V2011" s="141">
        <v>629287</v>
      </c>
      <c r="W2011" s="337"/>
    </row>
    <row r="2012" spans="20:23" ht="12.75">
      <c r="T2012" s="47" t="s">
        <v>2051</v>
      </c>
      <c r="U2012" s="47" t="s">
        <v>1118</v>
      </c>
      <c r="V2012" s="141">
        <v>632717</v>
      </c>
      <c r="W2012" s="337"/>
    </row>
    <row r="2013" spans="20:23" ht="12.75">
      <c r="T2013" s="47" t="s">
        <v>3344</v>
      </c>
      <c r="U2013" s="47" t="s">
        <v>2070</v>
      </c>
      <c r="V2013" s="141">
        <v>274062</v>
      </c>
      <c r="W2013" s="337"/>
    </row>
    <row r="2014" spans="20:23" ht="12.75">
      <c r="T2014" s="47" t="s">
        <v>3253</v>
      </c>
      <c r="U2014" s="47" t="s">
        <v>4147</v>
      </c>
      <c r="V2014" s="141">
        <v>443888</v>
      </c>
      <c r="W2014" s="337"/>
    </row>
    <row r="2015" spans="20:23" ht="12.75">
      <c r="T2015" s="47" t="s">
        <v>3311</v>
      </c>
      <c r="U2015" s="47" t="s">
        <v>3174</v>
      </c>
      <c r="V2015" s="141">
        <v>474548</v>
      </c>
      <c r="W2015" s="337"/>
    </row>
    <row r="2016" spans="20:23" ht="12.75">
      <c r="T2016" s="47" t="s">
        <v>2052</v>
      </c>
      <c r="U2016" s="47" t="s">
        <v>1119</v>
      </c>
      <c r="V2016" s="141">
        <v>477977</v>
      </c>
      <c r="W2016" s="337"/>
    </row>
    <row r="2017" spans="20:23" ht="12.75">
      <c r="T2017" s="47" t="s">
        <v>3346</v>
      </c>
      <c r="U2017" s="47" t="s">
        <v>2072</v>
      </c>
      <c r="V2017" s="141">
        <v>418540</v>
      </c>
      <c r="W2017" s="337"/>
    </row>
    <row r="2018" spans="20:23" ht="12.75">
      <c r="T2018" s="47" t="s">
        <v>3347</v>
      </c>
      <c r="U2018" s="47" t="s">
        <v>2073</v>
      </c>
      <c r="V2018" s="141">
        <v>652622</v>
      </c>
      <c r="W2018" s="337"/>
    </row>
    <row r="2019" spans="20:23" ht="12.75">
      <c r="T2019" s="47" t="s">
        <v>3255</v>
      </c>
      <c r="U2019" s="47" t="s">
        <v>4149</v>
      </c>
      <c r="V2019" s="141">
        <v>64326</v>
      </c>
      <c r="W2019" s="337"/>
    </row>
    <row r="2020" spans="20:23" ht="12.75">
      <c r="T2020" s="47" t="s">
        <v>2007</v>
      </c>
      <c r="U2020" s="47" t="s">
        <v>2008</v>
      </c>
      <c r="V2020" s="141">
        <v>73043</v>
      </c>
      <c r="W2020" s="139"/>
    </row>
    <row r="2021" spans="20:23" ht="12.75">
      <c r="T2021" s="47" t="s">
        <v>3274</v>
      </c>
      <c r="U2021" s="47" t="s">
        <v>4168</v>
      </c>
      <c r="V2021" s="141">
        <v>71920</v>
      </c>
      <c r="W2021" s="337"/>
    </row>
    <row r="2022" spans="20:23" ht="12.75">
      <c r="T2022" s="47" t="s">
        <v>3350</v>
      </c>
      <c r="U2022" s="47" t="s">
        <v>2076</v>
      </c>
      <c r="V2022" s="141">
        <v>78208</v>
      </c>
      <c r="W2022" s="337"/>
    </row>
    <row r="2023" spans="20:23" ht="12.75">
      <c r="T2023" s="47" t="s">
        <v>3256</v>
      </c>
      <c r="U2023" s="47" t="s">
        <v>4150</v>
      </c>
      <c r="V2023" s="141">
        <v>75803</v>
      </c>
      <c r="W2023" s="337"/>
    </row>
    <row r="2024" spans="20:23" ht="12.75">
      <c r="T2024" s="47" t="s">
        <v>2009</v>
      </c>
      <c r="U2024" s="47" t="s">
        <v>2010</v>
      </c>
      <c r="V2024" s="141">
        <v>84515</v>
      </c>
      <c r="W2024" s="139"/>
    </row>
    <row r="2025" spans="20:23" ht="12.75">
      <c r="T2025" s="47" t="s">
        <v>3279</v>
      </c>
      <c r="U2025" s="47" t="s">
        <v>2692</v>
      </c>
      <c r="V2025" s="141">
        <v>83395</v>
      </c>
      <c r="W2025" s="337"/>
    </row>
    <row r="2026" spans="20:23" ht="12.75">
      <c r="T2026" s="47" t="s">
        <v>3351</v>
      </c>
      <c r="U2026" s="47" t="s">
        <v>2077</v>
      </c>
      <c r="V2026" s="141">
        <v>89682</v>
      </c>
      <c r="W2026" s="337"/>
    </row>
    <row r="2027" spans="20:23" ht="12.75">
      <c r="T2027" s="47" t="s">
        <v>3315</v>
      </c>
      <c r="U2027" s="47" t="s">
        <v>3431</v>
      </c>
      <c r="V2027" s="141">
        <v>84296</v>
      </c>
      <c r="W2027" s="337"/>
    </row>
    <row r="2028" spans="20:23" ht="12.75">
      <c r="T2028" s="47" t="s">
        <v>2011</v>
      </c>
      <c r="U2028" s="47" t="s">
        <v>2012</v>
      </c>
      <c r="V2028" s="141">
        <v>91524</v>
      </c>
      <c r="W2028" s="139"/>
    </row>
    <row r="2029" spans="20:23" ht="12.75">
      <c r="T2029" s="47" t="s">
        <v>3314</v>
      </c>
      <c r="U2029" s="47" t="s">
        <v>3430</v>
      </c>
      <c r="V2029" s="141">
        <v>81665</v>
      </c>
      <c r="W2029" s="337"/>
    </row>
    <row r="2030" spans="20:23" ht="12.75">
      <c r="T2030" s="47" t="s">
        <v>2013</v>
      </c>
      <c r="U2030" s="47" t="s">
        <v>2014</v>
      </c>
      <c r="V2030" s="141">
        <v>88891</v>
      </c>
      <c r="W2030" s="139"/>
    </row>
    <row r="2031" spans="20:23" ht="12.75">
      <c r="T2031" s="47" t="s">
        <v>3259</v>
      </c>
      <c r="U2031" s="47" t="s">
        <v>4153</v>
      </c>
      <c r="V2031" s="141">
        <v>90374</v>
      </c>
      <c r="W2031" s="337"/>
    </row>
    <row r="2032" spans="20:23" ht="12.75">
      <c r="T2032" s="47" t="s">
        <v>3281</v>
      </c>
      <c r="U2032" s="47" t="s">
        <v>2694</v>
      </c>
      <c r="V2032" s="141">
        <v>97928</v>
      </c>
      <c r="W2032" s="337"/>
    </row>
    <row r="2033" spans="20:23" ht="12.75">
      <c r="T2033" s="47" t="s">
        <v>4888</v>
      </c>
      <c r="U2033" s="47" t="s">
        <v>2084</v>
      </c>
      <c r="V2033" s="141">
        <v>106623</v>
      </c>
      <c r="W2033" s="337"/>
    </row>
    <row r="2034" spans="20:23" ht="12.75">
      <c r="T2034" s="47" t="s">
        <v>3257</v>
      </c>
      <c r="U2034" s="47" t="s">
        <v>4151</v>
      </c>
      <c r="V2034" s="141">
        <v>95945</v>
      </c>
      <c r="W2034" s="337"/>
    </row>
    <row r="2035" spans="20:23" ht="12.75">
      <c r="T2035" s="47" t="s">
        <v>3280</v>
      </c>
      <c r="U2035" s="47" t="s">
        <v>2693</v>
      </c>
      <c r="V2035" s="141">
        <v>103498</v>
      </c>
      <c r="W2035" s="337"/>
    </row>
    <row r="2036" spans="20:23" ht="12.75">
      <c r="T2036" s="47" t="s">
        <v>4887</v>
      </c>
      <c r="U2036" s="47" t="s">
        <v>2083</v>
      </c>
      <c r="V2036" s="141">
        <v>112193</v>
      </c>
      <c r="W2036" s="337"/>
    </row>
    <row r="2037" spans="20:23" ht="12.75">
      <c r="T2037" s="47" t="s">
        <v>3260</v>
      </c>
      <c r="U2037" s="47" t="s">
        <v>4154</v>
      </c>
      <c r="V2037" s="141">
        <v>114131</v>
      </c>
      <c r="W2037" s="337"/>
    </row>
    <row r="2038" spans="20:23" ht="12.75">
      <c r="T2038" s="47" t="s">
        <v>3285</v>
      </c>
      <c r="U2038" s="47" t="s">
        <v>2698</v>
      </c>
      <c r="V2038" s="141">
        <v>121684</v>
      </c>
      <c r="W2038" s="337"/>
    </row>
    <row r="2039" spans="20:23" ht="12.75">
      <c r="T2039" s="47" t="s">
        <v>4889</v>
      </c>
      <c r="U2039" s="47" t="s">
        <v>2085</v>
      </c>
      <c r="V2039" s="141">
        <v>130380</v>
      </c>
      <c r="W2039" s="337"/>
    </row>
    <row r="2040" spans="20:23" ht="12.75">
      <c r="T2040" s="47" t="s">
        <v>3258</v>
      </c>
      <c r="U2040" s="47" t="s">
        <v>4152</v>
      </c>
      <c r="V2040" s="141">
        <v>115080</v>
      </c>
      <c r="W2040" s="337"/>
    </row>
    <row r="2041" spans="20:23" ht="12.75">
      <c r="T2041" s="47" t="s">
        <v>3282</v>
      </c>
      <c r="U2041" s="47" t="s">
        <v>2695</v>
      </c>
      <c r="V2041" s="141">
        <v>122633</v>
      </c>
      <c r="W2041" s="337"/>
    </row>
    <row r="2042" spans="20:23" ht="12.75">
      <c r="T2042" s="47" t="s">
        <v>4886</v>
      </c>
      <c r="U2042" s="47" t="s">
        <v>2082</v>
      </c>
      <c r="V2042" s="141">
        <v>131328</v>
      </c>
      <c r="W2042" s="337"/>
    </row>
    <row r="2043" spans="20:23" ht="12.75">
      <c r="T2043" s="47" t="s">
        <v>3261</v>
      </c>
      <c r="U2043" s="47" t="s">
        <v>4155</v>
      </c>
      <c r="V2043" s="141">
        <v>124864</v>
      </c>
      <c r="W2043" s="337"/>
    </row>
    <row r="2044" spans="20:23" ht="12.75">
      <c r="T2044" s="47" t="s">
        <v>3286</v>
      </c>
      <c r="U2044" s="47" t="s">
        <v>2699</v>
      </c>
      <c r="V2044" s="141">
        <v>132416</v>
      </c>
      <c r="W2044" s="337"/>
    </row>
    <row r="2045" spans="20:23" ht="12.75">
      <c r="T2045" s="47" t="s">
        <v>4890</v>
      </c>
      <c r="U2045" s="47" t="s">
        <v>2086</v>
      </c>
      <c r="V2045" s="141">
        <v>141112</v>
      </c>
      <c r="W2045" s="337"/>
    </row>
    <row r="2046" spans="20:23" ht="12.75">
      <c r="T2046" s="47" t="s">
        <v>3325</v>
      </c>
      <c r="U2046" s="47" t="s">
        <v>2987</v>
      </c>
      <c r="V2046" s="141">
        <v>94982</v>
      </c>
      <c r="W2046" s="337"/>
    </row>
    <row r="2047" spans="20:23" ht="12.75">
      <c r="T2047" s="47" t="s">
        <v>3316</v>
      </c>
      <c r="U2047" s="47" t="s">
        <v>3432</v>
      </c>
      <c r="V2047" s="141">
        <v>107665</v>
      </c>
      <c r="W2047" s="337"/>
    </row>
    <row r="2048" spans="20:23" ht="12.75">
      <c r="T2048" s="47" t="s">
        <v>3317</v>
      </c>
      <c r="U2048" s="47" t="s">
        <v>3433</v>
      </c>
      <c r="V2048" s="141">
        <v>133487</v>
      </c>
      <c r="W2048" s="337"/>
    </row>
    <row r="2049" spans="20:23" ht="12.75">
      <c r="T2049" s="47" t="s">
        <v>3324</v>
      </c>
      <c r="U2049" s="47" t="s">
        <v>2986</v>
      </c>
      <c r="V2049" s="141">
        <v>125439</v>
      </c>
      <c r="W2049" s="337"/>
    </row>
    <row r="2050" spans="20:23" ht="12.75">
      <c r="T2050" s="47" t="s">
        <v>3323</v>
      </c>
      <c r="U2050" s="47" t="s">
        <v>2985</v>
      </c>
      <c r="V2050" s="141">
        <v>167874</v>
      </c>
      <c r="W2050" s="337"/>
    </row>
    <row r="2051" spans="20:23" ht="12.75">
      <c r="T2051" s="47" t="s">
        <v>3264</v>
      </c>
      <c r="U2051" s="47" t="s">
        <v>4158</v>
      </c>
      <c r="V2051" s="141">
        <v>100250</v>
      </c>
      <c r="W2051" s="337"/>
    </row>
    <row r="2052" spans="20:23" ht="12.75">
      <c r="T2052" s="47" t="s">
        <v>3293</v>
      </c>
      <c r="U2052" s="47" t="s">
        <v>2706</v>
      </c>
      <c r="V2052" s="141">
        <v>120499</v>
      </c>
      <c r="W2052" s="337"/>
    </row>
    <row r="2053" spans="20:23" ht="12.75">
      <c r="T2053" s="47" t="s">
        <v>2951</v>
      </c>
      <c r="U2053" s="47" t="s">
        <v>2094</v>
      </c>
      <c r="V2053" s="141">
        <v>125072</v>
      </c>
      <c r="W2053" s="337"/>
    </row>
    <row r="2054" spans="20:23" ht="12.75">
      <c r="T2054" s="47" t="s">
        <v>3265</v>
      </c>
      <c r="U2054" s="47" t="s">
        <v>4159</v>
      </c>
      <c r="V2054" s="141">
        <v>128956</v>
      </c>
      <c r="W2054" s="337"/>
    </row>
    <row r="2055" spans="20:23" ht="12.75">
      <c r="T2055" s="47" t="s">
        <v>3294</v>
      </c>
      <c r="U2055" s="47" t="s">
        <v>4907</v>
      </c>
      <c r="V2055" s="141">
        <v>149205</v>
      </c>
      <c r="W2055" s="337"/>
    </row>
    <row r="2056" spans="20:23" ht="12.75">
      <c r="T2056" s="47" t="s">
        <v>2952</v>
      </c>
      <c r="U2056" s="47" t="s">
        <v>2095</v>
      </c>
      <c r="V2056" s="141">
        <v>153778</v>
      </c>
      <c r="W2056" s="337"/>
    </row>
    <row r="2057" spans="20:23" ht="12.75">
      <c r="T2057" s="47" t="s">
        <v>3266</v>
      </c>
      <c r="U2057" s="47" t="s">
        <v>4160</v>
      </c>
      <c r="V2057" s="141">
        <v>138367</v>
      </c>
      <c r="W2057" s="337"/>
    </row>
    <row r="2058" spans="20:23" ht="12.75">
      <c r="T2058" s="47" t="s">
        <v>3295</v>
      </c>
      <c r="U2058" s="47" t="s">
        <v>4908</v>
      </c>
      <c r="V2058" s="141">
        <v>158616</v>
      </c>
      <c r="W2058" s="337"/>
    </row>
    <row r="2059" spans="20:23" ht="12.75">
      <c r="T2059" s="47" t="s">
        <v>2953</v>
      </c>
      <c r="U2059" s="47" t="s">
        <v>2096</v>
      </c>
      <c r="V2059" s="141">
        <v>163188</v>
      </c>
      <c r="W2059" s="337"/>
    </row>
    <row r="2060" spans="20:23" ht="12.75">
      <c r="T2060" s="47" t="s">
        <v>3262</v>
      </c>
      <c r="U2060" s="47" t="s">
        <v>4156</v>
      </c>
      <c r="V2060" s="141">
        <v>157285</v>
      </c>
      <c r="W2060" s="337"/>
    </row>
    <row r="2061" spans="20:23" ht="12.75">
      <c r="T2061" s="47" t="s">
        <v>3289</v>
      </c>
      <c r="U2061" s="47" t="s">
        <v>2702</v>
      </c>
      <c r="V2061" s="141">
        <v>177533</v>
      </c>
      <c r="W2061" s="337"/>
    </row>
    <row r="2062" spans="20:23" ht="12.75">
      <c r="T2062" s="47" t="s">
        <v>2950</v>
      </c>
      <c r="U2062" s="47" t="s">
        <v>2093</v>
      </c>
      <c r="V2062" s="141">
        <v>182105</v>
      </c>
      <c r="W2062" s="337"/>
    </row>
    <row r="2063" spans="20:23" ht="12.75">
      <c r="T2063" s="47" t="s">
        <v>3267</v>
      </c>
      <c r="U2063" s="47" t="s">
        <v>4161</v>
      </c>
      <c r="V2063" s="141">
        <v>183031</v>
      </c>
      <c r="W2063" s="337"/>
    </row>
    <row r="2064" spans="20:23" ht="12.75">
      <c r="T2064" s="47" t="s">
        <v>3296</v>
      </c>
      <c r="U2064" s="47" t="s">
        <v>4909</v>
      </c>
      <c r="V2064" s="141">
        <v>203280</v>
      </c>
      <c r="W2064" s="337"/>
    </row>
    <row r="2065" spans="20:23" ht="12.75">
      <c r="T2065" s="47" t="s">
        <v>2954</v>
      </c>
      <c r="U2065" s="47" t="s">
        <v>2097</v>
      </c>
      <c r="V2065" s="141">
        <v>207853</v>
      </c>
      <c r="W2065" s="337"/>
    </row>
    <row r="2066" spans="20:23" ht="12.75">
      <c r="T2066" s="47" t="s">
        <v>3263</v>
      </c>
      <c r="U2066" s="47" t="s">
        <v>4157</v>
      </c>
      <c r="V2066" s="141">
        <v>179552</v>
      </c>
      <c r="W2066" s="337"/>
    </row>
    <row r="2067" spans="20:23" ht="12.75">
      <c r="T2067" s="47" t="s">
        <v>3290</v>
      </c>
      <c r="U2067" s="47" t="s">
        <v>2703</v>
      </c>
      <c r="V2067" s="141">
        <v>199803</v>
      </c>
      <c r="W2067" s="337"/>
    </row>
    <row r="2068" spans="20:23" ht="12.75">
      <c r="T2068" s="47" t="s">
        <v>2949</v>
      </c>
      <c r="U2068" s="47" t="s">
        <v>2092</v>
      </c>
      <c r="V2068" s="141">
        <v>204375</v>
      </c>
      <c r="W2068" s="337"/>
    </row>
    <row r="2069" spans="20:23" ht="12.75">
      <c r="T2069" s="47" t="s">
        <v>3268</v>
      </c>
      <c r="U2069" s="47" t="s">
        <v>4162</v>
      </c>
      <c r="V2069" s="141">
        <v>252320</v>
      </c>
      <c r="W2069" s="337"/>
    </row>
    <row r="2070" spans="20:23" ht="12.75">
      <c r="T2070" s="47" t="s">
        <v>3297</v>
      </c>
      <c r="U2070" s="47" t="s">
        <v>4910</v>
      </c>
      <c r="V2070" s="141">
        <v>272568</v>
      </c>
      <c r="W2070" s="337"/>
    </row>
    <row r="2071" spans="20:23" ht="12.75">
      <c r="T2071" s="47" t="s">
        <v>2955</v>
      </c>
      <c r="U2071" s="47" t="s">
        <v>2098</v>
      </c>
      <c r="V2071" s="141">
        <v>277140</v>
      </c>
      <c r="W2071" s="337"/>
    </row>
    <row r="2072" spans="20:23" ht="12.75">
      <c r="T2072" s="47" t="s">
        <v>3337</v>
      </c>
      <c r="U2072" s="47" t="s">
        <v>2063</v>
      </c>
      <c r="V2072" s="141">
        <v>101254</v>
      </c>
      <c r="W2072" s="337"/>
    </row>
    <row r="2073" spans="20:23" ht="12.75">
      <c r="T2073" s="47" t="s">
        <v>3338</v>
      </c>
      <c r="U2073" s="47" t="s">
        <v>2064</v>
      </c>
      <c r="V2073" s="141">
        <v>134168</v>
      </c>
      <c r="W2073" s="337"/>
    </row>
    <row r="2074" spans="20:23" ht="12.75">
      <c r="T2074" s="47" t="s">
        <v>3339</v>
      </c>
      <c r="U2074" s="47" t="s">
        <v>2065</v>
      </c>
      <c r="V2074" s="141">
        <v>165997</v>
      </c>
      <c r="W2074" s="337"/>
    </row>
    <row r="2075" spans="20:23" ht="12.75">
      <c r="T2075" s="47" t="s">
        <v>3326</v>
      </c>
      <c r="U2075" s="47" t="s">
        <v>2988</v>
      </c>
      <c r="V2075" s="141">
        <v>188590</v>
      </c>
      <c r="W2075" s="337"/>
    </row>
    <row r="2076" spans="20:23" ht="12.75">
      <c r="T2076" s="47" t="s">
        <v>3335</v>
      </c>
      <c r="U2076" s="47" t="s">
        <v>2061</v>
      </c>
      <c r="V2076" s="141">
        <v>225940</v>
      </c>
      <c r="W2076" s="337"/>
    </row>
    <row r="2077" spans="20:23" ht="12.75">
      <c r="T2077" s="47" t="s">
        <v>3327</v>
      </c>
      <c r="U2077" s="47" t="s">
        <v>2989</v>
      </c>
      <c r="V2077" s="141">
        <v>255086</v>
      </c>
      <c r="W2077" s="337"/>
    </row>
    <row r="2078" spans="20:23" ht="12.75">
      <c r="T2078" s="47" t="s">
        <v>3336</v>
      </c>
      <c r="U2078" s="47" t="s">
        <v>2062</v>
      </c>
      <c r="V2078" s="141">
        <v>256989</v>
      </c>
      <c r="W2078" s="337"/>
    </row>
    <row r="2079" spans="20:23" ht="12.75">
      <c r="T2079" s="47" t="s">
        <v>3270</v>
      </c>
      <c r="U2079" s="47" t="s">
        <v>4164</v>
      </c>
      <c r="V2079" s="141">
        <v>279614</v>
      </c>
      <c r="W2079" s="337"/>
    </row>
    <row r="2080" spans="20:23" ht="12.75">
      <c r="T2080" s="47" t="s">
        <v>3307</v>
      </c>
      <c r="U2080" s="47" t="s">
        <v>3170</v>
      </c>
      <c r="V2080" s="141">
        <v>310724</v>
      </c>
      <c r="W2080" s="337"/>
    </row>
    <row r="2081" spans="20:23" ht="12.75">
      <c r="T2081" s="47" t="s">
        <v>2047</v>
      </c>
      <c r="U2081" s="47" t="s">
        <v>2413</v>
      </c>
      <c r="V2081" s="141">
        <v>315255</v>
      </c>
      <c r="W2081" s="337"/>
    </row>
    <row r="2082" spans="20:23" ht="12.75">
      <c r="T2082" s="47" t="s">
        <v>3269</v>
      </c>
      <c r="U2082" s="47" t="s">
        <v>4163</v>
      </c>
      <c r="V2082" s="141">
        <v>278569</v>
      </c>
      <c r="W2082" s="337"/>
    </row>
    <row r="2083" spans="20:23" ht="12.75">
      <c r="T2083" s="47" t="s">
        <v>3302</v>
      </c>
      <c r="U2083" s="47" t="s">
        <v>4915</v>
      </c>
      <c r="V2083" s="141">
        <v>309677</v>
      </c>
      <c r="W2083" s="337"/>
    </row>
    <row r="2084" spans="20:23" ht="12.75">
      <c r="T2084" s="47" t="s">
        <v>2045</v>
      </c>
      <c r="U2084" s="47" t="s">
        <v>2411</v>
      </c>
      <c r="V2084" s="141">
        <v>314210</v>
      </c>
      <c r="W2084" s="337"/>
    </row>
    <row r="2085" spans="20:23" ht="12.75">
      <c r="T2085" s="47" t="s">
        <v>3271</v>
      </c>
      <c r="U2085" s="47" t="s">
        <v>4165</v>
      </c>
      <c r="V2085" s="141">
        <v>315184</v>
      </c>
      <c r="W2085" s="337"/>
    </row>
    <row r="2086" spans="20:23" ht="12.75">
      <c r="T2086" s="47" t="s">
        <v>3306</v>
      </c>
      <c r="U2086" s="47" t="s">
        <v>2836</v>
      </c>
      <c r="V2086" s="141">
        <v>346295</v>
      </c>
      <c r="W2086" s="337"/>
    </row>
    <row r="2087" spans="20:23" ht="12.75">
      <c r="T2087" s="47" t="s">
        <v>2048</v>
      </c>
      <c r="U2087" s="47" t="s">
        <v>2414</v>
      </c>
      <c r="V2087" s="141">
        <v>350825</v>
      </c>
      <c r="W2087" s="337"/>
    </row>
    <row r="2088" spans="20:23" ht="12.75">
      <c r="T2088" s="47" t="s">
        <v>3342</v>
      </c>
      <c r="U2088" s="47" t="s">
        <v>2068</v>
      </c>
      <c r="V2088" s="141">
        <v>290285</v>
      </c>
      <c r="W2088" s="337"/>
    </row>
    <row r="2089" spans="20:23" ht="12.75">
      <c r="T2089" s="47" t="s">
        <v>3273</v>
      </c>
      <c r="U2089" s="47" t="s">
        <v>4167</v>
      </c>
      <c r="V2089" s="141">
        <v>749954</v>
      </c>
      <c r="W2089" s="337"/>
    </row>
    <row r="2090" spans="20:23" ht="12.75">
      <c r="T2090" s="47" t="s">
        <v>3341</v>
      </c>
      <c r="U2090" s="47" t="s">
        <v>2067</v>
      </c>
      <c r="V2090" s="141">
        <v>340592</v>
      </c>
      <c r="W2090" s="337"/>
    </row>
    <row r="2091" spans="20:23" ht="12.75">
      <c r="T2091" s="47" t="s">
        <v>3309</v>
      </c>
      <c r="U2091" s="47" t="s">
        <v>3172</v>
      </c>
      <c r="V2091" s="141">
        <v>788983</v>
      </c>
      <c r="W2091" s="337"/>
    </row>
    <row r="2092" spans="20:23" ht="12.75">
      <c r="T2092" s="47" t="s">
        <v>2050</v>
      </c>
      <c r="U2092" s="47" t="s">
        <v>1117</v>
      </c>
      <c r="V2092" s="141">
        <v>793556</v>
      </c>
      <c r="W2092" s="337"/>
    </row>
    <row r="2093" spans="20:23" ht="12.75">
      <c r="T2093" s="47" t="s">
        <v>3343</v>
      </c>
      <c r="U2093" s="47" t="s">
        <v>2069</v>
      </c>
      <c r="V2093" s="141">
        <v>375962</v>
      </c>
      <c r="W2093" s="337"/>
    </row>
    <row r="2094" spans="20:23" ht="12.75">
      <c r="T2094" s="47" t="s">
        <v>3272</v>
      </c>
      <c r="U2094" s="47" t="s">
        <v>4166</v>
      </c>
      <c r="V2094" s="141">
        <v>597129</v>
      </c>
      <c r="W2094" s="337"/>
    </row>
    <row r="2095" spans="20:23" ht="12.75">
      <c r="T2095" s="47" t="s">
        <v>3308</v>
      </c>
      <c r="U2095" s="47" t="s">
        <v>3171</v>
      </c>
      <c r="V2095" s="141">
        <v>636158</v>
      </c>
      <c r="W2095" s="337"/>
    </row>
    <row r="2096" spans="20:23" ht="12.75">
      <c r="T2096" s="47" t="s">
        <v>2049</v>
      </c>
      <c r="U2096" s="47" t="s">
        <v>2415</v>
      </c>
      <c r="V2096" s="141">
        <v>640730</v>
      </c>
      <c r="W2096" s="337"/>
    </row>
    <row r="2097" spans="20:23" ht="12.75">
      <c r="T2097" s="47" t="s">
        <v>3349</v>
      </c>
      <c r="U2097" s="47" t="s">
        <v>2075</v>
      </c>
      <c r="V2097" s="141">
        <v>645467</v>
      </c>
      <c r="W2097" s="337"/>
    </row>
    <row r="2098" spans="20:23" ht="12.75">
      <c r="T2098" s="47" t="s">
        <v>3348</v>
      </c>
      <c r="U2098" s="47" t="s">
        <v>2074</v>
      </c>
      <c r="V2098" s="141">
        <v>810398</v>
      </c>
      <c r="W2098" s="337"/>
    </row>
    <row r="2099" spans="20:23" ht="12.75">
      <c r="T2099" s="47" t="s">
        <v>19</v>
      </c>
      <c r="U2099" s="47" t="s">
        <v>4989</v>
      </c>
      <c r="V2099" s="141">
        <v>318365</v>
      </c>
      <c r="W2099" s="139"/>
    </row>
    <row r="2100" spans="20:23" ht="12.75">
      <c r="T2100" s="47" t="s">
        <v>20</v>
      </c>
      <c r="U2100" s="47" t="s">
        <v>21</v>
      </c>
      <c r="V2100" s="141">
        <v>682433</v>
      </c>
      <c r="W2100" s="139"/>
    </row>
    <row r="2101" spans="20:23" ht="12.75">
      <c r="T2101" s="47" t="s">
        <v>22</v>
      </c>
      <c r="U2101" s="47" t="s">
        <v>23</v>
      </c>
      <c r="V2101" s="141">
        <v>857090</v>
      </c>
      <c r="W2101" s="139"/>
    </row>
    <row r="2102" spans="20:23" ht="12.75">
      <c r="T2102" s="47" t="s">
        <v>1081</v>
      </c>
      <c r="U2102" s="47" t="s">
        <v>4990</v>
      </c>
      <c r="V2102" s="141">
        <v>389249</v>
      </c>
      <c r="W2102" s="139"/>
    </row>
    <row r="2103" spans="20:23" ht="12.75">
      <c r="T2103" s="47" t="s">
        <v>24</v>
      </c>
      <c r="U2103" s="47" t="s">
        <v>25</v>
      </c>
      <c r="V2103" s="141">
        <v>737676</v>
      </c>
      <c r="W2103" s="139"/>
    </row>
    <row r="2104" spans="20:23" ht="12.75">
      <c r="T2104" s="47" t="s">
        <v>26</v>
      </c>
      <c r="U2104" s="47" t="s">
        <v>27</v>
      </c>
      <c r="V2104" s="141">
        <v>926169</v>
      </c>
      <c r="W2104" s="139"/>
    </row>
    <row r="2105" spans="20:23" ht="12.75">
      <c r="T2105" s="47" t="s">
        <v>2224</v>
      </c>
      <c r="U2105" s="47" t="s">
        <v>1124</v>
      </c>
      <c r="V2105" s="141">
        <v>56209</v>
      </c>
      <c r="W2105" s="337"/>
    </row>
    <row r="2106" spans="20:23" ht="12.75">
      <c r="T2106" s="47" t="s">
        <v>2226</v>
      </c>
      <c r="U2106" s="47" t="s">
        <v>4056</v>
      </c>
      <c r="V2106" s="141">
        <v>56209</v>
      </c>
      <c r="W2106" s="337"/>
    </row>
    <row r="2107" spans="20:23" ht="12.75">
      <c r="T2107" s="47" t="s">
        <v>1059</v>
      </c>
      <c r="U2107" s="47" t="s">
        <v>4070</v>
      </c>
      <c r="V2107" s="141">
        <v>106279</v>
      </c>
      <c r="W2107" s="337"/>
    </row>
    <row r="2108" spans="20:23" ht="12.75">
      <c r="T2108" s="47" t="s">
        <v>1073</v>
      </c>
      <c r="U2108" s="47" t="s">
        <v>4084</v>
      </c>
      <c r="V2108" s="141">
        <v>106279</v>
      </c>
      <c r="W2108" s="337"/>
    </row>
    <row r="2109" spans="20:23" ht="12.75">
      <c r="T2109" s="47" t="s">
        <v>1062</v>
      </c>
      <c r="U2109" s="47" t="s">
        <v>4073</v>
      </c>
      <c r="V2109" s="141">
        <v>178403</v>
      </c>
      <c r="W2109" s="337"/>
    </row>
    <row r="2110" spans="20:23" ht="12.75">
      <c r="T2110" s="47" t="s">
        <v>1070</v>
      </c>
      <c r="U2110" s="47" t="s">
        <v>4081</v>
      </c>
      <c r="V2110" s="141">
        <v>178403</v>
      </c>
      <c r="W2110" s="337"/>
    </row>
    <row r="2111" spans="20:23" ht="12.75">
      <c r="T2111" s="47" t="s">
        <v>1063</v>
      </c>
      <c r="U2111" s="47" t="s">
        <v>4074</v>
      </c>
      <c r="V2111" s="141">
        <v>248556</v>
      </c>
      <c r="W2111" s="337"/>
    </row>
    <row r="2112" spans="20:23" ht="12.75">
      <c r="T2112" s="47" t="s">
        <v>830</v>
      </c>
      <c r="U2112" s="47" t="s">
        <v>1371</v>
      </c>
      <c r="V2112" s="141">
        <v>248556</v>
      </c>
      <c r="W2112" s="337"/>
    </row>
    <row r="2113" spans="20:23" ht="12.75">
      <c r="T2113" s="47" t="s">
        <v>1066</v>
      </c>
      <c r="U2113" s="47" t="s">
        <v>4077</v>
      </c>
      <c r="V2113" s="141">
        <v>652622</v>
      </c>
      <c r="W2113" s="337"/>
    </row>
    <row r="2114" spans="20:23" ht="12.75">
      <c r="T2114" s="47" t="s">
        <v>1067</v>
      </c>
      <c r="U2114" s="47" t="s">
        <v>4078</v>
      </c>
      <c r="V2114" s="141">
        <v>652622</v>
      </c>
      <c r="W2114" s="337"/>
    </row>
    <row r="2115" spans="20:23" ht="12.75">
      <c r="T2115" s="47" t="s">
        <v>2225</v>
      </c>
      <c r="U2115" s="47" t="s">
        <v>4055</v>
      </c>
      <c r="V2115" s="141">
        <v>81665</v>
      </c>
      <c r="W2115" s="337"/>
    </row>
    <row r="2116" spans="20:23" ht="12.75">
      <c r="T2116" s="47" t="s">
        <v>2227</v>
      </c>
      <c r="U2116" s="47" t="s">
        <v>4057</v>
      </c>
      <c r="V2116" s="141">
        <v>81665</v>
      </c>
      <c r="W2116" s="337"/>
    </row>
    <row r="2117" spans="20:23" ht="12.75">
      <c r="T2117" s="47" t="s">
        <v>1060</v>
      </c>
      <c r="U2117" s="47" t="s">
        <v>4071</v>
      </c>
      <c r="V2117" s="141">
        <v>133487</v>
      </c>
      <c r="W2117" s="337"/>
    </row>
    <row r="2118" spans="20:23" ht="12.75">
      <c r="T2118" s="47" t="s">
        <v>1072</v>
      </c>
      <c r="U2118" s="47" t="s">
        <v>4083</v>
      </c>
      <c r="V2118" s="141">
        <v>133487</v>
      </c>
      <c r="W2118" s="337"/>
    </row>
    <row r="2119" spans="20:23" ht="12.75">
      <c r="T2119" s="47" t="s">
        <v>1061</v>
      </c>
      <c r="U2119" s="47" t="s">
        <v>4072</v>
      </c>
      <c r="V2119" s="141">
        <v>255086</v>
      </c>
      <c r="W2119" s="337"/>
    </row>
    <row r="2120" spans="20:23" ht="12.75">
      <c r="T2120" s="47" t="s">
        <v>1071</v>
      </c>
      <c r="U2120" s="47" t="s">
        <v>4082</v>
      </c>
      <c r="V2120" s="141">
        <v>255086</v>
      </c>
      <c r="W2120" s="337"/>
    </row>
    <row r="2121" spans="20:23" ht="12.75">
      <c r="T2121" s="47" t="s">
        <v>1064</v>
      </c>
      <c r="U2121" s="47" t="s">
        <v>4075</v>
      </c>
      <c r="V2121" s="141">
        <v>340592</v>
      </c>
      <c r="W2121" s="337"/>
    </row>
    <row r="2122" spans="20:23" ht="12.75">
      <c r="T2122" s="47" t="s">
        <v>1069</v>
      </c>
      <c r="U2122" s="47" t="s">
        <v>4080</v>
      </c>
      <c r="V2122" s="141">
        <v>340592</v>
      </c>
      <c r="W2122" s="337"/>
    </row>
    <row r="2123" spans="20:23" ht="12.75">
      <c r="T2123" s="47" t="s">
        <v>1065</v>
      </c>
      <c r="U2123" s="47" t="s">
        <v>4076</v>
      </c>
      <c r="V2123" s="141">
        <v>810398</v>
      </c>
      <c r="W2123" s="337"/>
    </row>
    <row r="2124" spans="20:23" ht="12.75">
      <c r="T2124" s="47" t="s">
        <v>1068</v>
      </c>
      <c r="U2124" s="47" t="s">
        <v>4079</v>
      </c>
      <c r="V2124" s="141">
        <v>810398</v>
      </c>
      <c r="W2124" s="337"/>
    </row>
    <row r="2125" spans="20:23" ht="12.75">
      <c r="T2125" s="47" t="s">
        <v>2228</v>
      </c>
      <c r="U2125" s="47" t="s">
        <v>4058</v>
      </c>
      <c r="V2125" s="141">
        <v>56209</v>
      </c>
      <c r="W2125" s="337"/>
    </row>
    <row r="2126" spans="20:23" ht="12.75">
      <c r="T2126" s="47" t="s">
        <v>2231</v>
      </c>
      <c r="U2126" s="47" t="s">
        <v>4061</v>
      </c>
      <c r="V2126" s="141">
        <v>56209</v>
      </c>
      <c r="W2126" s="337"/>
    </row>
    <row r="2127" spans="20:23" ht="12.75">
      <c r="T2127" s="47" t="s">
        <v>1074</v>
      </c>
      <c r="U2127" s="47" t="s">
        <v>4085</v>
      </c>
      <c r="V2127" s="141">
        <v>106279</v>
      </c>
      <c r="W2127" s="337"/>
    </row>
    <row r="2128" spans="20:23" ht="12.75">
      <c r="T2128" s="47" t="s">
        <v>2719</v>
      </c>
      <c r="U2128" s="47" t="s">
        <v>4093</v>
      </c>
      <c r="V2128" s="141">
        <v>106279</v>
      </c>
      <c r="W2128" s="337"/>
    </row>
    <row r="2129" spans="20:23" ht="12.75">
      <c r="T2129" s="47" t="s">
        <v>1077</v>
      </c>
      <c r="U2129" s="47" t="s">
        <v>4088</v>
      </c>
      <c r="V2129" s="141">
        <v>178403</v>
      </c>
      <c r="W2129" s="337"/>
    </row>
    <row r="2130" spans="20:23" ht="12.75">
      <c r="T2130" s="47" t="s">
        <v>2721</v>
      </c>
      <c r="U2130" s="47" t="s">
        <v>4095</v>
      </c>
      <c r="V2130" s="141">
        <v>178403</v>
      </c>
      <c r="W2130" s="337"/>
    </row>
    <row r="2131" spans="20:23" ht="12.75">
      <c r="T2131" s="47" t="s">
        <v>1078</v>
      </c>
      <c r="U2131" s="47" t="s">
        <v>4089</v>
      </c>
      <c r="V2131" s="141">
        <v>248556</v>
      </c>
      <c r="W2131" s="337"/>
    </row>
    <row r="2132" spans="20:23" ht="12.75">
      <c r="T2132" s="47" t="s">
        <v>2723</v>
      </c>
      <c r="U2132" s="47" t="s">
        <v>4097</v>
      </c>
      <c r="V2132" s="141">
        <v>248556</v>
      </c>
      <c r="W2132" s="337"/>
    </row>
    <row r="2133" spans="20:23" ht="12.75">
      <c r="T2133" s="47" t="s">
        <v>2717</v>
      </c>
      <c r="U2133" s="47" t="s">
        <v>4091</v>
      </c>
      <c r="V2133" s="141">
        <v>652622</v>
      </c>
      <c r="W2133" s="337"/>
    </row>
    <row r="2134" spans="20:23" ht="12.75">
      <c r="T2134" s="47" t="s">
        <v>2725</v>
      </c>
      <c r="U2134" s="47" t="s">
        <v>4099</v>
      </c>
      <c r="V2134" s="141">
        <v>652622</v>
      </c>
      <c r="W2134" s="337"/>
    </row>
    <row r="2135" spans="20:23" ht="12.75">
      <c r="T2135" s="47" t="s">
        <v>2229</v>
      </c>
      <c r="U2135" s="47" t="s">
        <v>4059</v>
      </c>
      <c r="V2135" s="141">
        <v>81665</v>
      </c>
      <c r="W2135" s="337"/>
    </row>
    <row r="2136" spans="20:23" ht="12.75">
      <c r="T2136" s="47" t="s">
        <v>2230</v>
      </c>
      <c r="U2136" s="47" t="s">
        <v>4060</v>
      </c>
      <c r="V2136" s="141">
        <v>81665</v>
      </c>
      <c r="W2136" s="337"/>
    </row>
    <row r="2137" spans="20:23" ht="12.75">
      <c r="T2137" s="47" t="s">
        <v>1075</v>
      </c>
      <c r="U2137" s="47" t="s">
        <v>4086</v>
      </c>
      <c r="V2137" s="141">
        <v>133487</v>
      </c>
      <c r="W2137" s="337"/>
    </row>
    <row r="2138" spans="20:23" ht="12.75">
      <c r="T2138" s="47" t="s">
        <v>2720</v>
      </c>
      <c r="U2138" s="47" t="s">
        <v>4094</v>
      </c>
      <c r="V2138" s="141">
        <v>133487</v>
      </c>
      <c r="W2138" s="337"/>
    </row>
    <row r="2139" spans="20:23" ht="12.75">
      <c r="T2139" s="47" t="s">
        <v>1076</v>
      </c>
      <c r="U2139" s="47" t="s">
        <v>4087</v>
      </c>
      <c r="V2139" s="141">
        <v>255086</v>
      </c>
      <c r="W2139" s="337"/>
    </row>
    <row r="2140" spans="20:23" ht="12.75">
      <c r="T2140" s="47" t="s">
        <v>2722</v>
      </c>
      <c r="U2140" s="47" t="s">
        <v>4096</v>
      </c>
      <c r="V2140" s="141">
        <v>255086</v>
      </c>
      <c r="W2140" s="337"/>
    </row>
    <row r="2141" spans="20:23" ht="12.75">
      <c r="T2141" s="47" t="s">
        <v>1079</v>
      </c>
      <c r="U2141" s="47" t="s">
        <v>4090</v>
      </c>
      <c r="V2141" s="141">
        <v>340592</v>
      </c>
      <c r="W2141" s="337"/>
    </row>
    <row r="2142" spans="20:23" ht="12.75">
      <c r="T2142" s="47" t="s">
        <v>2724</v>
      </c>
      <c r="U2142" s="47" t="s">
        <v>4098</v>
      </c>
      <c r="V2142" s="141">
        <v>340592</v>
      </c>
      <c r="W2142" s="337"/>
    </row>
    <row r="2143" spans="20:23" ht="12.75">
      <c r="T2143" s="47" t="s">
        <v>2718</v>
      </c>
      <c r="U2143" s="47" t="s">
        <v>4092</v>
      </c>
      <c r="V2143" s="141">
        <v>810398</v>
      </c>
      <c r="W2143" s="337"/>
    </row>
    <row r="2144" spans="20:23" ht="12.75">
      <c r="T2144" s="47" t="s">
        <v>2726</v>
      </c>
      <c r="U2144" s="47" t="s">
        <v>4100</v>
      </c>
      <c r="V2144" s="141">
        <v>810398</v>
      </c>
      <c r="W2144" s="337"/>
    </row>
    <row r="2145" spans="20:23" ht="12.75">
      <c r="T2145" s="47" t="s">
        <v>4580</v>
      </c>
      <c r="U2145" s="47" t="s">
        <v>4581</v>
      </c>
      <c r="V2145" s="141">
        <v>14439</v>
      </c>
      <c r="W2145" s="139"/>
    </row>
    <row r="2146" spans="20:23" ht="12.75">
      <c r="T2146" s="47" t="s">
        <v>834</v>
      </c>
      <c r="U2146" s="47" t="s">
        <v>4582</v>
      </c>
      <c r="V2146" s="141">
        <v>17436</v>
      </c>
      <c r="W2146" s="139"/>
    </row>
    <row r="2147" spans="20:23" ht="12.75">
      <c r="T2147" s="47" t="s">
        <v>4583</v>
      </c>
      <c r="U2147" s="47" t="s">
        <v>4584</v>
      </c>
      <c r="V2147" s="141">
        <v>13761</v>
      </c>
      <c r="W2147" s="139"/>
    </row>
    <row r="2148" spans="20:23" ht="12.75">
      <c r="T2148" s="47" t="s">
        <v>4585</v>
      </c>
      <c r="U2148" s="47" t="s">
        <v>4586</v>
      </c>
      <c r="V2148" s="141">
        <v>16704</v>
      </c>
      <c r="W2148" s="139"/>
    </row>
    <row r="2149" spans="20:23" ht="12.75">
      <c r="T2149" s="47" t="s">
        <v>835</v>
      </c>
      <c r="U2149" s="47" t="s">
        <v>4587</v>
      </c>
      <c r="V2149" s="141">
        <v>17330</v>
      </c>
      <c r="W2149" s="139"/>
    </row>
    <row r="2150" spans="20:23" ht="12.75">
      <c r="T2150" s="47" t="s">
        <v>4588</v>
      </c>
      <c r="U2150" s="47" t="s">
        <v>4589</v>
      </c>
      <c r="V2150" s="141">
        <v>15438</v>
      </c>
      <c r="W2150" s="139"/>
    </row>
    <row r="2151" spans="20:23" ht="12.75">
      <c r="T2151" s="47" t="s">
        <v>4590</v>
      </c>
      <c r="U2151" s="47" t="s">
        <v>4591</v>
      </c>
      <c r="V2151" s="141">
        <v>19360</v>
      </c>
      <c r="W2151" s="139"/>
    </row>
    <row r="2152" spans="20:23" ht="12.75">
      <c r="T2152" s="47" t="s">
        <v>4592</v>
      </c>
      <c r="U2152" s="47" t="s">
        <v>4593</v>
      </c>
      <c r="V2152" s="141">
        <v>23842</v>
      </c>
      <c r="W2152" s="139"/>
    </row>
    <row r="2153" spans="20:23" ht="12.75">
      <c r="T2153" s="47" t="s">
        <v>4594</v>
      </c>
      <c r="U2153" s="47" t="s">
        <v>3062</v>
      </c>
      <c r="V2153" s="141">
        <v>30025</v>
      </c>
      <c r="W2153" s="139"/>
    </row>
    <row r="2154" spans="20:23" ht="12.75">
      <c r="T2154" s="47" t="s">
        <v>3063</v>
      </c>
      <c r="U2154" s="47" t="s">
        <v>3064</v>
      </c>
      <c r="V2154" s="141">
        <v>34581</v>
      </c>
      <c r="W2154" s="139"/>
    </row>
    <row r="2155" spans="20:23" ht="12.75">
      <c r="T2155" s="47" t="s">
        <v>3065</v>
      </c>
      <c r="U2155" s="47" t="s">
        <v>3066</v>
      </c>
      <c r="V2155" s="141">
        <v>37910</v>
      </c>
      <c r="W2155" s="139"/>
    </row>
    <row r="2156" spans="20:23" ht="12.75">
      <c r="T2156" s="47" t="s">
        <v>3067</v>
      </c>
      <c r="U2156" s="47" t="s">
        <v>3068</v>
      </c>
      <c r="V2156" s="141">
        <v>44637</v>
      </c>
      <c r="W2156" s="139"/>
    </row>
    <row r="2157" spans="20:23" ht="12.75">
      <c r="T2157" s="47" t="s">
        <v>28</v>
      </c>
      <c r="U2157" s="47" t="s">
        <v>29</v>
      </c>
      <c r="V2157" s="141">
        <v>80042</v>
      </c>
      <c r="W2157" s="139"/>
    </row>
    <row r="2158" spans="20:23" ht="12.75">
      <c r="T2158" s="47" t="s">
        <v>30</v>
      </c>
      <c r="U2158" s="47" t="s">
        <v>31</v>
      </c>
      <c r="V2158" s="141">
        <v>111481</v>
      </c>
      <c r="W2158" s="139"/>
    </row>
    <row r="2159" spans="20:23" ht="12.75">
      <c r="T2159" s="47" t="s">
        <v>32</v>
      </c>
      <c r="U2159" s="47" t="s">
        <v>33</v>
      </c>
      <c r="V2159" s="141">
        <v>118998</v>
      </c>
      <c r="W2159" s="139"/>
    </row>
    <row r="2160" spans="20:23" ht="12.75">
      <c r="T2160" s="47" t="s">
        <v>34</v>
      </c>
      <c r="U2160" s="47" t="s">
        <v>35</v>
      </c>
      <c r="V2160" s="141">
        <v>161657</v>
      </c>
      <c r="W2160" s="139"/>
    </row>
    <row r="2161" spans="20:23" ht="12.75">
      <c r="T2161" s="47" t="s">
        <v>36</v>
      </c>
      <c r="U2161" s="47" t="s">
        <v>37</v>
      </c>
      <c r="V2161" s="141">
        <v>214425</v>
      </c>
      <c r="W2161" s="139"/>
    </row>
    <row r="2162" spans="20:23" ht="12.75">
      <c r="T2162" s="47" t="s">
        <v>38</v>
      </c>
      <c r="U2162" s="47" t="s">
        <v>39</v>
      </c>
      <c r="V2162" s="141">
        <v>110276</v>
      </c>
      <c r="W2162" s="139"/>
    </row>
    <row r="2163" spans="20:23" ht="12.75">
      <c r="T2163" s="47" t="s">
        <v>40</v>
      </c>
      <c r="U2163" s="47" t="s">
        <v>41</v>
      </c>
      <c r="V2163" s="141">
        <v>141851</v>
      </c>
      <c r="W2163" s="139"/>
    </row>
    <row r="2164" spans="20:23" ht="12.75">
      <c r="T2164" s="47" t="s">
        <v>42</v>
      </c>
      <c r="U2164" s="47" t="s">
        <v>43</v>
      </c>
      <c r="V2164" s="141">
        <v>152204</v>
      </c>
      <c r="W2164" s="139"/>
    </row>
    <row r="2165" spans="20:23" ht="12.75">
      <c r="T2165" s="47" t="s">
        <v>44</v>
      </c>
      <c r="U2165" s="47" t="s">
        <v>45</v>
      </c>
      <c r="V2165" s="141">
        <v>201335</v>
      </c>
      <c r="W2165" s="139"/>
    </row>
    <row r="2166" spans="20:23" ht="12.75">
      <c r="T2166" s="47" t="s">
        <v>46</v>
      </c>
      <c r="U2166" s="47" t="s">
        <v>47</v>
      </c>
      <c r="V2166" s="141">
        <v>277551</v>
      </c>
      <c r="W2166" s="139"/>
    </row>
    <row r="2167" spans="20:23" ht="12.75">
      <c r="T2167" s="47" t="s">
        <v>48</v>
      </c>
      <c r="U2167" s="47" t="s">
        <v>49</v>
      </c>
      <c r="V2167" s="141">
        <v>111379</v>
      </c>
      <c r="W2167" s="139"/>
    </row>
    <row r="2168" spans="20:23" ht="12.75">
      <c r="T2168" s="47" t="s">
        <v>50</v>
      </c>
      <c r="U2168" s="47" t="s">
        <v>51</v>
      </c>
      <c r="V2168" s="141">
        <v>147585</v>
      </c>
      <c r="W2168" s="139"/>
    </row>
    <row r="2169" spans="20:23" ht="12.75">
      <c r="T2169" s="47" t="s">
        <v>52</v>
      </c>
      <c r="U2169" s="47" t="s">
        <v>53</v>
      </c>
      <c r="V2169" s="141">
        <v>182597</v>
      </c>
      <c r="W2169" s="139"/>
    </row>
    <row r="2170" spans="20:23" ht="12.75">
      <c r="T2170" s="47" t="s">
        <v>54</v>
      </c>
      <c r="U2170" s="47" t="s">
        <v>55</v>
      </c>
      <c r="V2170" s="141">
        <v>248534</v>
      </c>
      <c r="W2170" s="139"/>
    </row>
    <row r="2171" spans="20:23" ht="12.75">
      <c r="T2171" s="47" t="s">
        <v>56</v>
      </c>
      <c r="U2171" s="47" t="s">
        <v>57</v>
      </c>
      <c r="V2171" s="141">
        <v>282688</v>
      </c>
      <c r="W2171" s="139"/>
    </row>
    <row r="2172" spans="20:23" ht="12.75">
      <c r="T2172" s="47" t="s">
        <v>58</v>
      </c>
      <c r="U2172" s="47" t="s">
        <v>59</v>
      </c>
      <c r="V2172" s="141">
        <v>212386</v>
      </c>
      <c r="W2172" s="139"/>
    </row>
    <row r="2173" spans="20:23" ht="12.75">
      <c r="T2173" s="47" t="s">
        <v>60</v>
      </c>
      <c r="U2173" s="47" t="s">
        <v>61</v>
      </c>
      <c r="V2173" s="141">
        <v>188000</v>
      </c>
      <c r="W2173" s="139"/>
    </row>
    <row r="2174" spans="20:23" ht="12.75">
      <c r="T2174" s="47" t="s">
        <v>62</v>
      </c>
      <c r="U2174" s="47" t="s">
        <v>63</v>
      </c>
      <c r="V2174" s="141">
        <v>135904</v>
      </c>
      <c r="W2174" s="139"/>
    </row>
    <row r="2175" spans="20:23" ht="12.75">
      <c r="T2175" s="47" t="s">
        <v>64</v>
      </c>
      <c r="U2175" s="47" t="s">
        <v>65</v>
      </c>
      <c r="V2175" s="141">
        <v>115619</v>
      </c>
      <c r="W2175" s="139"/>
    </row>
    <row r="2176" spans="20:23" ht="12.75">
      <c r="T2176" s="47" t="s">
        <v>66</v>
      </c>
      <c r="U2176" s="47" t="s">
        <v>67</v>
      </c>
      <c r="V2176" s="141">
        <v>80953</v>
      </c>
      <c r="W2176" s="139"/>
    </row>
    <row r="2177" spans="20:23" ht="12.75">
      <c r="T2177" s="47" t="s">
        <v>68</v>
      </c>
      <c r="U2177" s="47" t="s">
        <v>69</v>
      </c>
      <c r="V2177" s="141">
        <v>48467</v>
      </c>
      <c r="W2177" s="139"/>
    </row>
    <row r="2178" spans="20:23" ht="12.75">
      <c r="T2178" s="47" t="s">
        <v>70</v>
      </c>
      <c r="U2178" s="47" t="s">
        <v>71</v>
      </c>
      <c r="V2178" s="141">
        <v>63966</v>
      </c>
      <c r="W2178" s="139"/>
    </row>
    <row r="2179" spans="20:23" ht="12.75">
      <c r="T2179" s="47" t="s">
        <v>72</v>
      </c>
      <c r="U2179" s="47" t="s">
        <v>73</v>
      </c>
      <c r="V2179" s="141">
        <v>77381</v>
      </c>
      <c r="W2179" s="139"/>
    </row>
    <row r="2180" spans="20:23" ht="12.75">
      <c r="T2180" s="47" t="s">
        <v>74</v>
      </c>
      <c r="U2180" s="47" t="s">
        <v>75</v>
      </c>
      <c r="V2180" s="141">
        <v>99947</v>
      </c>
      <c r="W2180" s="139"/>
    </row>
    <row r="2181" spans="20:23" ht="12.75">
      <c r="T2181" s="47" t="s">
        <v>76</v>
      </c>
      <c r="U2181" s="47" t="s">
        <v>77</v>
      </c>
      <c r="V2181" s="141">
        <v>104747</v>
      </c>
      <c r="W2181" s="139"/>
    </row>
    <row r="2182" spans="20:23" ht="12.75">
      <c r="T2182" s="47" t="s">
        <v>78</v>
      </c>
      <c r="U2182" s="47" t="s">
        <v>79</v>
      </c>
      <c r="V2182" s="141">
        <v>83681</v>
      </c>
      <c r="W2182" s="139"/>
    </row>
    <row r="2183" spans="20:23" ht="12.75">
      <c r="T2183" s="47" t="s">
        <v>80</v>
      </c>
      <c r="U2183" s="47" t="s">
        <v>81</v>
      </c>
      <c r="V2183" s="141">
        <v>116548</v>
      </c>
      <c r="W2183" s="139"/>
    </row>
    <row r="2184" spans="20:23" ht="12.75">
      <c r="T2184" s="47" t="s">
        <v>82</v>
      </c>
      <c r="U2184" s="47" t="s">
        <v>83</v>
      </c>
      <c r="V2184" s="141">
        <v>124408</v>
      </c>
      <c r="W2184" s="139"/>
    </row>
    <row r="2185" spans="20:23" ht="12.75">
      <c r="T2185" s="47" t="s">
        <v>84</v>
      </c>
      <c r="U2185" s="47" t="s">
        <v>85</v>
      </c>
      <c r="V2185" s="141">
        <v>169005</v>
      </c>
      <c r="W2185" s="139"/>
    </row>
    <row r="2186" spans="20:23" ht="12.75">
      <c r="T2186" s="47" t="s">
        <v>86</v>
      </c>
      <c r="U2186" s="47" t="s">
        <v>87</v>
      </c>
      <c r="V2186" s="141">
        <v>224172</v>
      </c>
      <c r="W2186" s="139"/>
    </row>
    <row r="2187" spans="20:23" ht="12.75">
      <c r="T2187" s="47" t="s">
        <v>88</v>
      </c>
      <c r="U2187" s="47" t="s">
        <v>89</v>
      </c>
      <c r="V2187" s="141">
        <v>254408</v>
      </c>
      <c r="W2187" s="139"/>
    </row>
    <row r="2188" spans="20:23" ht="12.75">
      <c r="T2188" s="47" t="s">
        <v>90</v>
      </c>
      <c r="U2188" s="47" t="s">
        <v>91</v>
      </c>
      <c r="V2188" s="141">
        <v>305985</v>
      </c>
      <c r="W2188" s="139"/>
    </row>
    <row r="2189" spans="20:23" ht="12.75">
      <c r="T2189" s="47" t="s">
        <v>92</v>
      </c>
      <c r="U2189" s="47" t="s">
        <v>93</v>
      </c>
      <c r="V2189" s="141">
        <v>55500</v>
      </c>
      <c r="W2189" s="139"/>
    </row>
    <row r="2190" spans="20:23" ht="12.75">
      <c r="T2190" s="47" t="s">
        <v>94</v>
      </c>
      <c r="U2190" s="47" t="s">
        <v>95</v>
      </c>
      <c r="V2190" s="141">
        <v>64641</v>
      </c>
      <c r="W2190" s="139"/>
    </row>
    <row r="2191" spans="20:23" ht="12.75">
      <c r="T2191" s="47" t="s">
        <v>96</v>
      </c>
      <c r="U2191" s="47" t="s">
        <v>97</v>
      </c>
      <c r="V2191" s="141">
        <v>81264</v>
      </c>
      <c r="W2191" s="139"/>
    </row>
    <row r="2192" spans="20:23" ht="12.75">
      <c r="T2192" s="47" t="s">
        <v>1080</v>
      </c>
      <c r="U2192" s="47" t="s">
        <v>98</v>
      </c>
      <c r="V2192" s="141">
        <v>113602</v>
      </c>
      <c r="W2192" s="139"/>
    </row>
    <row r="2193" spans="20:23" ht="12.75">
      <c r="T2193" s="47" t="s">
        <v>99</v>
      </c>
      <c r="U2193" s="47" t="s">
        <v>100</v>
      </c>
      <c r="V2193" s="141">
        <v>144094</v>
      </c>
      <c r="W2193" s="139"/>
    </row>
    <row r="2194" spans="20:23" ht="12.75">
      <c r="T2194" s="47" t="s">
        <v>101</v>
      </c>
      <c r="U2194" s="47" t="s">
        <v>102</v>
      </c>
      <c r="V2194" s="141">
        <v>84633</v>
      </c>
      <c r="W2194" s="139"/>
    </row>
    <row r="2195" spans="20:23" ht="12.75">
      <c r="T2195" s="47" t="s">
        <v>103</v>
      </c>
      <c r="U2195" s="47" t="s">
        <v>104</v>
      </c>
      <c r="V2195" s="141">
        <v>120874</v>
      </c>
      <c r="W2195" s="139"/>
    </row>
    <row r="2196" spans="20:23" ht="12.75">
      <c r="T2196" s="47" t="s">
        <v>105</v>
      </c>
      <c r="U2196" s="47" t="s">
        <v>106</v>
      </c>
      <c r="V2196" s="141">
        <v>142082</v>
      </c>
      <c r="W2196" s="139"/>
    </row>
    <row r="2197" spans="20:23" ht="12.75">
      <c r="T2197" s="47" t="s">
        <v>107</v>
      </c>
      <c r="U2197" s="47" t="s">
        <v>108</v>
      </c>
      <c r="V2197" s="141">
        <v>196545</v>
      </c>
      <c r="W2197" s="139"/>
    </row>
    <row r="2198" spans="20:23" ht="12.75">
      <c r="T2198" s="47" t="s">
        <v>109</v>
      </c>
      <c r="U2198" s="47" t="s">
        <v>110</v>
      </c>
      <c r="V2198" s="141">
        <v>222039</v>
      </c>
      <c r="W2198" s="139"/>
    </row>
    <row r="2199" spans="20:23" ht="12.75">
      <c r="T2199" s="47" t="s">
        <v>111</v>
      </c>
      <c r="U2199" s="47" t="s">
        <v>112</v>
      </c>
      <c r="V2199" s="141">
        <v>268173</v>
      </c>
      <c r="W2199" s="139"/>
    </row>
    <row r="2200" spans="20:23" ht="12.75">
      <c r="T2200" s="47" t="s">
        <v>113</v>
      </c>
      <c r="U2200" s="47" t="s">
        <v>114</v>
      </c>
      <c r="V2200" s="141">
        <v>315172</v>
      </c>
      <c r="W2200" s="139"/>
    </row>
    <row r="2201" spans="20:23" ht="12.75">
      <c r="T2201" s="47" t="s">
        <v>115</v>
      </c>
      <c r="U2201" s="47" t="s">
        <v>116</v>
      </c>
      <c r="V2201" s="141">
        <v>73976</v>
      </c>
      <c r="W2201" s="139"/>
    </row>
    <row r="2202" spans="20:23" ht="12.75">
      <c r="T2202" s="47" t="s">
        <v>117</v>
      </c>
      <c r="U2202" s="47" t="s">
        <v>118</v>
      </c>
      <c r="V2202" s="141">
        <v>87172</v>
      </c>
      <c r="W2202" s="139"/>
    </row>
    <row r="2203" spans="20:23" ht="12.75">
      <c r="T2203" s="47" t="s">
        <v>119</v>
      </c>
      <c r="U2203" s="47" t="s">
        <v>120</v>
      </c>
      <c r="V2203" s="141">
        <v>103932</v>
      </c>
      <c r="W2203" s="139"/>
    </row>
    <row r="2204" spans="20:23" ht="12.75">
      <c r="T2204" s="47" t="s">
        <v>121</v>
      </c>
      <c r="U2204" s="47" t="s">
        <v>122</v>
      </c>
      <c r="V2204" s="141">
        <v>131249</v>
      </c>
      <c r="W2204" s="139"/>
    </row>
    <row r="2205" spans="20:23" ht="12.75">
      <c r="T2205" s="47" t="s">
        <v>123</v>
      </c>
      <c r="U2205" s="47" t="s">
        <v>124</v>
      </c>
      <c r="V2205" s="141">
        <v>143593</v>
      </c>
      <c r="W2205" s="139"/>
    </row>
    <row r="2206" spans="20:23" ht="12.75">
      <c r="T2206" s="47" t="s">
        <v>125</v>
      </c>
      <c r="U2206" s="47" t="s">
        <v>126</v>
      </c>
      <c r="V2206" s="141">
        <v>115287</v>
      </c>
      <c r="W2206" s="139"/>
    </row>
    <row r="2207" spans="20:23" ht="12.75">
      <c r="T2207" s="47" t="s">
        <v>127</v>
      </c>
      <c r="U2207" s="47" t="s">
        <v>128</v>
      </c>
      <c r="V2207" s="141">
        <v>148299</v>
      </c>
      <c r="W2207" s="139"/>
    </row>
    <row r="2208" spans="20:23" ht="12.75">
      <c r="T2208" s="47" t="s">
        <v>129</v>
      </c>
      <c r="U2208" s="47" t="s">
        <v>130</v>
      </c>
      <c r="V2208" s="141">
        <v>159123</v>
      </c>
      <c r="W2208" s="139"/>
    </row>
    <row r="2209" spans="20:23" ht="12.75">
      <c r="T2209" s="47" t="s">
        <v>131</v>
      </c>
      <c r="U2209" s="47" t="s">
        <v>132</v>
      </c>
      <c r="V2209" s="141">
        <v>210486</v>
      </c>
      <c r="W2209" s="139"/>
    </row>
    <row r="2210" spans="20:23" ht="12.75">
      <c r="T2210" s="47" t="s">
        <v>838</v>
      </c>
      <c r="U2210" s="47" t="s">
        <v>133</v>
      </c>
      <c r="V2210" s="141">
        <v>290168</v>
      </c>
      <c r="W2210" s="139"/>
    </row>
    <row r="2211" spans="20:23" ht="12.75">
      <c r="T2211" s="47" t="s">
        <v>134</v>
      </c>
      <c r="U2211" s="47" t="s">
        <v>135</v>
      </c>
      <c r="V2211" s="141">
        <v>96940</v>
      </c>
      <c r="W2211" s="139"/>
    </row>
    <row r="2212" spans="20:23" ht="12.75">
      <c r="T2212" s="47" t="s">
        <v>136</v>
      </c>
      <c r="U2212" s="47" t="s">
        <v>137</v>
      </c>
      <c r="V2212" s="141">
        <v>93915</v>
      </c>
      <c r="W2212" s="139"/>
    </row>
    <row r="2213" spans="20:23" ht="12.75">
      <c r="T2213" s="47" t="s">
        <v>138</v>
      </c>
      <c r="U2213" s="47" t="s">
        <v>139</v>
      </c>
      <c r="V2213" s="141">
        <v>109229</v>
      </c>
      <c r="W2213" s="139"/>
    </row>
    <row r="2214" spans="20:23" ht="12.75">
      <c r="T2214" s="47" t="s">
        <v>140</v>
      </c>
      <c r="U2214" s="47" t="s">
        <v>141</v>
      </c>
      <c r="V2214" s="141">
        <v>144255</v>
      </c>
      <c r="W2214" s="139"/>
    </row>
    <row r="2215" spans="20:23" ht="12.75">
      <c r="T2215" s="47" t="s">
        <v>142</v>
      </c>
      <c r="U2215" s="47" t="s">
        <v>143</v>
      </c>
      <c r="V2215" s="141">
        <v>193056</v>
      </c>
      <c r="W2215" s="139"/>
    </row>
    <row r="2216" spans="20:23" ht="12.75">
      <c r="T2216" s="47" t="s">
        <v>144</v>
      </c>
      <c r="U2216" s="47" t="s">
        <v>145</v>
      </c>
      <c r="V2216" s="141">
        <v>116443</v>
      </c>
      <c r="W2216" s="139"/>
    </row>
    <row r="2217" spans="20:23" ht="12.75">
      <c r="T2217" s="47" t="s">
        <v>146</v>
      </c>
      <c r="U2217" s="47" t="s">
        <v>147</v>
      </c>
      <c r="V2217" s="141">
        <v>154292</v>
      </c>
      <c r="W2217" s="139"/>
    </row>
    <row r="2218" spans="20:23" ht="12.75">
      <c r="T2218" s="47" t="s">
        <v>148</v>
      </c>
      <c r="U2218" s="47" t="s">
        <v>149</v>
      </c>
      <c r="V2218" s="141">
        <v>190895</v>
      </c>
      <c r="W2218" s="139"/>
    </row>
    <row r="2219" spans="20:23" ht="12.75">
      <c r="T2219" s="47" t="s">
        <v>150</v>
      </c>
      <c r="U2219" s="47" t="s">
        <v>151</v>
      </c>
      <c r="V2219" s="141">
        <v>259831</v>
      </c>
      <c r="W2219" s="139"/>
    </row>
    <row r="2220" spans="20:23" ht="12.75">
      <c r="T2220" s="47" t="s">
        <v>152</v>
      </c>
      <c r="U2220" s="47" t="s">
        <v>153</v>
      </c>
      <c r="V2220" s="141">
        <v>295536</v>
      </c>
      <c r="W2220" s="139"/>
    </row>
    <row r="2221" spans="20:23" ht="12.75">
      <c r="T2221" s="47" t="s">
        <v>154</v>
      </c>
      <c r="U2221" s="47" t="s">
        <v>155</v>
      </c>
      <c r="V2221" s="141">
        <v>27759</v>
      </c>
      <c r="W2221" s="139"/>
    </row>
    <row r="2222" spans="20:23" ht="12.75">
      <c r="T2222" s="47" t="s">
        <v>156</v>
      </c>
      <c r="U2222" s="47" t="s">
        <v>157</v>
      </c>
      <c r="V2222" s="141">
        <v>33842</v>
      </c>
      <c r="W2222" s="139"/>
    </row>
    <row r="2223" spans="20:23" ht="12.75">
      <c r="T2223" s="47" t="s">
        <v>158</v>
      </c>
      <c r="U2223" s="47" t="s">
        <v>159</v>
      </c>
      <c r="V2223" s="141">
        <v>40416</v>
      </c>
      <c r="W2223" s="139"/>
    </row>
    <row r="2224" spans="20:23" ht="12.75">
      <c r="T2224" s="47" t="s">
        <v>160</v>
      </c>
      <c r="U2224" s="47" t="s">
        <v>161</v>
      </c>
      <c r="V2224" s="141">
        <v>62168</v>
      </c>
      <c r="W2224" s="139"/>
    </row>
    <row r="2225" spans="20:23" ht="12.75">
      <c r="T2225" s="47" t="s">
        <v>162</v>
      </c>
      <c r="U2225" s="47" t="s">
        <v>163</v>
      </c>
      <c r="V2225" s="141">
        <v>34330</v>
      </c>
      <c r="W2225" s="139"/>
    </row>
    <row r="2226" spans="20:23" ht="12.75">
      <c r="T2226" s="47" t="s">
        <v>164</v>
      </c>
      <c r="U2226" s="47" t="s">
        <v>165</v>
      </c>
      <c r="V2226" s="141">
        <v>40413</v>
      </c>
      <c r="W2226" s="139"/>
    </row>
    <row r="2227" spans="20:23" ht="12.75">
      <c r="T2227" s="47" t="s">
        <v>166</v>
      </c>
      <c r="U2227" s="47" t="s">
        <v>167</v>
      </c>
      <c r="V2227" s="141">
        <v>57882</v>
      </c>
      <c r="W2227" s="139"/>
    </row>
    <row r="2228" spans="20:23" ht="12.75">
      <c r="T2228" s="47" t="s">
        <v>168</v>
      </c>
      <c r="U2228" s="47" t="s">
        <v>169</v>
      </c>
      <c r="V2228" s="141">
        <v>89115</v>
      </c>
      <c r="W2228" s="139"/>
    </row>
    <row r="2229" spans="20:23" ht="12.75">
      <c r="T2229" s="47" t="s">
        <v>170</v>
      </c>
      <c r="U2229" s="47" t="s">
        <v>171</v>
      </c>
      <c r="V2229" s="141">
        <v>27759</v>
      </c>
      <c r="W2229" s="139"/>
    </row>
    <row r="2230" spans="20:23" ht="12.75">
      <c r="T2230" s="47" t="s">
        <v>172</v>
      </c>
      <c r="U2230" s="47" t="s">
        <v>173</v>
      </c>
      <c r="V2230" s="141">
        <v>33842</v>
      </c>
      <c r="W2230" s="139"/>
    </row>
    <row r="2231" spans="20:23" ht="12.75">
      <c r="T2231" s="47" t="s">
        <v>174</v>
      </c>
      <c r="U2231" s="47" t="s">
        <v>175</v>
      </c>
      <c r="V2231" s="141">
        <v>40416</v>
      </c>
      <c r="W2231" s="139"/>
    </row>
    <row r="2232" spans="20:23" ht="12.75">
      <c r="T2232" s="47" t="s">
        <v>176</v>
      </c>
      <c r="U2232" s="47" t="s">
        <v>177</v>
      </c>
      <c r="V2232" s="141">
        <v>62168</v>
      </c>
      <c r="W2232" s="139"/>
    </row>
    <row r="2233" spans="20:23" ht="12.75">
      <c r="T2233" s="47" t="s">
        <v>178</v>
      </c>
      <c r="U2233" s="47" t="s">
        <v>179</v>
      </c>
      <c r="V2233" s="141">
        <v>35681</v>
      </c>
      <c r="W2233" s="139"/>
    </row>
    <row r="2234" spans="20:23" ht="12.75">
      <c r="T2234" s="47" t="s">
        <v>180</v>
      </c>
      <c r="U2234" s="47" t="s">
        <v>181</v>
      </c>
      <c r="V2234" s="141">
        <v>44011</v>
      </c>
      <c r="W2234" s="139"/>
    </row>
    <row r="2235" spans="20:23" ht="12.75">
      <c r="T2235" s="47" t="s">
        <v>182</v>
      </c>
      <c r="U2235" s="47" t="s">
        <v>183</v>
      </c>
      <c r="V2235" s="141">
        <v>44444</v>
      </c>
      <c r="W2235" s="139"/>
    </row>
    <row r="2236" spans="20:23" ht="12.75">
      <c r="T2236" s="47" t="s">
        <v>184</v>
      </c>
      <c r="U2236" s="47" t="s">
        <v>185</v>
      </c>
      <c r="V2236" s="141">
        <v>44414</v>
      </c>
      <c r="W2236" s="139"/>
    </row>
    <row r="2237" spans="20:23" ht="12.75">
      <c r="T2237" s="47" t="s">
        <v>186</v>
      </c>
      <c r="U2237" s="47" t="s">
        <v>187</v>
      </c>
      <c r="V2237" s="141">
        <v>52696</v>
      </c>
      <c r="W2237" s="139"/>
    </row>
    <row r="2238" spans="20:23" ht="12.75">
      <c r="T2238" s="47" t="s">
        <v>188</v>
      </c>
      <c r="U2238" s="47" t="s">
        <v>189</v>
      </c>
      <c r="V2238" s="141">
        <v>67732</v>
      </c>
      <c r="W2238" s="139"/>
    </row>
    <row r="2239" spans="20:23" ht="12.75">
      <c r="T2239" s="47" t="s">
        <v>190</v>
      </c>
      <c r="U2239" s="47" t="s">
        <v>191</v>
      </c>
      <c r="V2239" s="141">
        <v>35681</v>
      </c>
      <c r="W2239" s="139"/>
    </row>
    <row r="2240" spans="20:23" ht="12.75">
      <c r="T2240" s="47" t="s">
        <v>192</v>
      </c>
      <c r="U2240" s="47" t="s">
        <v>193</v>
      </c>
      <c r="V2240" s="141">
        <v>44011</v>
      </c>
      <c r="W2240" s="139"/>
    </row>
    <row r="2241" spans="20:23" ht="12.75">
      <c r="T2241" s="47" t="s">
        <v>194</v>
      </c>
      <c r="U2241" s="47" t="s">
        <v>195</v>
      </c>
      <c r="V2241" s="141">
        <v>44444</v>
      </c>
      <c r="W2241" s="139"/>
    </row>
  </sheetData>
  <conditionalFormatting sqref="B34:E34">
    <cfRule type="expression" priority="1" dxfId="2" stopIfTrue="1">
      <formula>$G$34=0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F52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5.00390625" style="94" customWidth="1"/>
    <col min="2" max="2" width="17.125" style="94" bestFit="1" customWidth="1"/>
    <col min="3" max="3" width="40.875" style="94" customWidth="1"/>
    <col min="4" max="4" width="5.375" style="96" customWidth="1"/>
    <col min="5" max="5" width="19.375" style="94" customWidth="1"/>
    <col min="6" max="6" width="11.875" style="94" bestFit="1" customWidth="1"/>
    <col min="7" max="16384" width="9.125" style="94" customWidth="1"/>
  </cols>
  <sheetData>
    <row r="3" ht="26.25">
      <c r="A3" s="183" t="s">
        <v>4314</v>
      </c>
    </row>
    <row r="4" ht="15.75">
      <c r="A4" s="242" t="s">
        <v>2837</v>
      </c>
    </row>
    <row r="5" spans="1:5" ht="21" customHeight="1">
      <c r="A5" s="183"/>
      <c r="D5" s="243" t="s">
        <v>2838</v>
      </c>
      <c r="E5" s="244">
        <f ca="1">NOW()</f>
        <v>38796.59151550926</v>
      </c>
    </row>
    <row r="6" ht="15">
      <c r="B6" s="179"/>
    </row>
    <row r="8" spans="1:6" s="184" customFormat="1" ht="19.5" customHeight="1">
      <c r="A8" s="186" t="s">
        <v>4315</v>
      </c>
      <c r="B8" s="187" t="s">
        <v>5017</v>
      </c>
      <c r="C8" s="187" t="s">
        <v>4531</v>
      </c>
      <c r="D8" s="188" t="s">
        <v>4311</v>
      </c>
      <c r="E8" s="189" t="s">
        <v>4534</v>
      </c>
      <c r="F8" s="185" t="s">
        <v>4310</v>
      </c>
    </row>
    <row r="9" spans="1:6" ht="12.75">
      <c r="A9" s="190">
        <f>'Objednacím číslem'!B3</f>
      </c>
      <c r="B9" s="191">
        <f>'Objednacím číslem'!C3</f>
        <v>0</v>
      </c>
      <c r="C9" s="191">
        <f>'Objednacím číslem'!E3</f>
      </c>
      <c r="D9" s="191">
        <f>'Objednacím číslem'!D3</f>
        <v>0</v>
      </c>
      <c r="E9" s="192">
        <f>'Objednacím číslem'!F3</f>
      </c>
      <c r="F9" s="180">
        <f>'Objednacím číslem'!G3</f>
        <v>0</v>
      </c>
    </row>
    <row r="10" spans="1:6" ht="12.75">
      <c r="A10" s="190">
        <f>'Objednacím číslem'!B4</f>
      </c>
      <c r="B10" s="191">
        <f>'Objednacím číslem'!C4</f>
        <v>0</v>
      </c>
      <c r="C10" s="191">
        <f>'Objednacím číslem'!E4</f>
      </c>
      <c r="D10" s="191">
        <f>'Objednacím číslem'!D4</f>
        <v>0</v>
      </c>
      <c r="E10" s="192">
        <f>'Objednacím číslem'!F4</f>
      </c>
      <c r="F10" s="180">
        <f>'Objednacím číslem'!G4</f>
        <v>0</v>
      </c>
    </row>
    <row r="11" spans="1:6" ht="12.75">
      <c r="A11" s="190">
        <f>'Objednacím číslem'!B5</f>
      </c>
      <c r="B11" s="191">
        <f>'Objednacím číslem'!C5</f>
        <v>0</v>
      </c>
      <c r="C11" s="191">
        <f>'Objednacím číslem'!E5</f>
      </c>
      <c r="D11" s="191">
        <f>'Objednacím číslem'!D5</f>
        <v>0</v>
      </c>
      <c r="E11" s="192">
        <f>'Objednacím číslem'!F5</f>
      </c>
      <c r="F11" s="180">
        <f>'Objednacím číslem'!G5</f>
        <v>0</v>
      </c>
    </row>
    <row r="12" spans="1:6" ht="12.75">
      <c r="A12" s="190">
        <f>'Objednacím číslem'!B6</f>
      </c>
      <c r="B12" s="191">
        <f>'Objednacím číslem'!C6</f>
        <v>0</v>
      </c>
      <c r="C12" s="191">
        <f>'Objednacím číslem'!E6</f>
      </c>
      <c r="D12" s="191">
        <f>'Objednacím číslem'!D6</f>
        <v>0</v>
      </c>
      <c r="E12" s="192">
        <f>'Objednacím číslem'!F6</f>
      </c>
      <c r="F12" s="180">
        <f>'Objednacím číslem'!G6</f>
        <v>0</v>
      </c>
    </row>
    <row r="13" spans="1:6" ht="12.75">
      <c r="A13" s="190">
        <f>'Objednacím číslem'!B7</f>
      </c>
      <c r="B13" s="191">
        <f>'Objednacím číslem'!C7</f>
        <v>0</v>
      </c>
      <c r="C13" s="191">
        <f>'Objednacím číslem'!E7</f>
      </c>
      <c r="D13" s="191">
        <f>'Objednacím číslem'!D7</f>
        <v>0</v>
      </c>
      <c r="E13" s="192">
        <f>'Objednacím číslem'!F7</f>
      </c>
      <c r="F13" s="180">
        <f>'Objednacím číslem'!G7</f>
        <v>0</v>
      </c>
    </row>
    <row r="14" spans="1:6" ht="12.75">
      <c r="A14" s="190">
        <f>'Objednacím číslem'!B8</f>
      </c>
      <c r="B14" s="191">
        <f>'Objednacím číslem'!C8</f>
        <v>0</v>
      </c>
      <c r="C14" s="191">
        <f>'Objednacím číslem'!E8</f>
      </c>
      <c r="D14" s="191">
        <f>'Objednacím číslem'!D8</f>
        <v>0</v>
      </c>
      <c r="E14" s="192">
        <f>'Objednacím číslem'!F8</f>
      </c>
      <c r="F14" s="180">
        <f>'Objednacím číslem'!G8</f>
        <v>0</v>
      </c>
    </row>
    <row r="15" spans="1:6" ht="12.75">
      <c r="A15" s="190">
        <f>'Objednacím číslem'!B9</f>
      </c>
      <c r="B15" s="191">
        <f>'Objednacím číslem'!C9</f>
        <v>0</v>
      </c>
      <c r="C15" s="191">
        <f>'Objednacím číslem'!E9</f>
      </c>
      <c r="D15" s="191">
        <f>'Objednacím číslem'!D9</f>
        <v>0</v>
      </c>
      <c r="E15" s="192">
        <f>'Objednacím číslem'!F9</f>
      </c>
      <c r="F15" s="180">
        <f>'Objednacím číslem'!G9</f>
        <v>0</v>
      </c>
    </row>
    <row r="16" spans="1:6" ht="12.75">
      <c r="A16" s="190">
        <f>'Objednacím číslem'!B10</f>
      </c>
      <c r="B16" s="191">
        <f>'Objednacím číslem'!C10</f>
        <v>0</v>
      </c>
      <c r="C16" s="191">
        <f>'Objednacím číslem'!E10</f>
      </c>
      <c r="D16" s="191">
        <f>'Objednacím číslem'!D10</f>
        <v>0</v>
      </c>
      <c r="E16" s="192">
        <f>'Objednacím číslem'!F10</f>
      </c>
      <c r="F16" s="180">
        <f>'Objednacím číslem'!G10</f>
        <v>0</v>
      </c>
    </row>
    <row r="17" spans="1:6" ht="12.75">
      <c r="A17" s="190">
        <f>'Objednacím číslem'!B11</f>
      </c>
      <c r="B17" s="191">
        <f>'Objednacím číslem'!C11</f>
        <v>0</v>
      </c>
      <c r="C17" s="191">
        <f>'Objednacím číslem'!E11</f>
      </c>
      <c r="D17" s="191">
        <f>'Objednacím číslem'!D11</f>
        <v>0</v>
      </c>
      <c r="E17" s="192">
        <f>'Objednacím číslem'!F11</f>
      </c>
      <c r="F17" s="180">
        <f>'Objednacím číslem'!G11</f>
        <v>0</v>
      </c>
    </row>
    <row r="18" spans="1:6" ht="12.75">
      <c r="A18" s="190">
        <f>'Objednacím číslem'!B12</f>
      </c>
      <c r="B18" s="191">
        <f>'Objednacím číslem'!C12</f>
        <v>0</v>
      </c>
      <c r="C18" s="191">
        <f>'Objednacím číslem'!E12</f>
      </c>
      <c r="D18" s="191">
        <f>'Objednacím číslem'!D12</f>
        <v>0</v>
      </c>
      <c r="E18" s="192">
        <f>'Objednacím číslem'!F12</f>
      </c>
      <c r="F18" s="180">
        <f>'Objednacím číslem'!G12</f>
        <v>0</v>
      </c>
    </row>
    <row r="19" spans="1:6" ht="12.75">
      <c r="A19" s="190">
        <f>'Objednacím číslem'!B13</f>
      </c>
      <c r="B19" s="191">
        <f>'Objednacím číslem'!C13</f>
        <v>0</v>
      </c>
      <c r="C19" s="191">
        <f>'Objednacím číslem'!E13</f>
      </c>
      <c r="D19" s="191">
        <f>'Objednacím číslem'!D13</f>
        <v>0</v>
      </c>
      <c r="E19" s="192">
        <f>'Objednacím číslem'!F13</f>
      </c>
      <c r="F19" s="180">
        <f>'Objednacím číslem'!G13</f>
        <v>0</v>
      </c>
    </row>
    <row r="20" spans="1:6" ht="12.75">
      <c r="A20" s="190">
        <f>'Objednacím číslem'!B14</f>
      </c>
      <c r="B20" s="191">
        <f>'Objednacím číslem'!C14</f>
        <v>0</v>
      </c>
      <c r="C20" s="191">
        <f>'Objednacím číslem'!E14</f>
      </c>
      <c r="D20" s="191">
        <f>'Objednacím číslem'!D14</f>
        <v>0</v>
      </c>
      <c r="E20" s="192">
        <f>'Objednacím číslem'!F14</f>
      </c>
      <c r="F20" s="180">
        <f>'Objednacím číslem'!G14</f>
        <v>0</v>
      </c>
    </row>
    <row r="21" spans="1:6" ht="12.75">
      <c r="A21" s="190">
        <f>'Objednacím číslem'!B15</f>
      </c>
      <c r="B21" s="191">
        <f>'Objednacím číslem'!C15</f>
        <v>0</v>
      </c>
      <c r="C21" s="191">
        <f>'Objednacím číslem'!E15</f>
      </c>
      <c r="D21" s="191">
        <f>'Objednacím číslem'!D15</f>
        <v>0</v>
      </c>
      <c r="E21" s="192">
        <f>'Objednacím číslem'!F15</f>
      </c>
      <c r="F21" s="180">
        <f>'Objednacím číslem'!G15</f>
        <v>0</v>
      </c>
    </row>
    <row r="22" spans="1:6" ht="12.75">
      <c r="A22" s="190">
        <f>'Objednacím číslem'!B16</f>
      </c>
      <c r="B22" s="191">
        <f>'Objednacím číslem'!C16</f>
        <v>0</v>
      </c>
      <c r="C22" s="191">
        <f>'Objednacím číslem'!E16</f>
      </c>
      <c r="D22" s="191">
        <f>'Objednacím číslem'!D16</f>
        <v>0</v>
      </c>
      <c r="E22" s="192">
        <f>'Objednacím číslem'!F16</f>
      </c>
      <c r="F22" s="180">
        <f>'Objednacím číslem'!G16</f>
        <v>0</v>
      </c>
    </row>
    <row r="23" spans="1:6" ht="12.75">
      <c r="A23" s="190">
        <f>'Objednacím číslem'!B17</f>
      </c>
      <c r="B23" s="191">
        <f>'Objednacím číslem'!C17</f>
        <v>0</v>
      </c>
      <c r="C23" s="191">
        <f>'Objednacím číslem'!E17</f>
      </c>
      <c r="D23" s="191">
        <f>'Objednacím číslem'!D17</f>
        <v>0</v>
      </c>
      <c r="E23" s="192">
        <f>'Objednacím číslem'!F17</f>
      </c>
      <c r="F23" s="180">
        <f>'Objednacím číslem'!G17</f>
        <v>0</v>
      </c>
    </row>
    <row r="24" spans="1:6" ht="12.75">
      <c r="A24" s="190">
        <f>'Objednacím číslem'!B18</f>
      </c>
      <c r="B24" s="191">
        <f>'Objednacím číslem'!C18</f>
        <v>0</v>
      </c>
      <c r="C24" s="191">
        <f>'Objednacím číslem'!E18</f>
      </c>
      <c r="D24" s="191">
        <f>'Objednacím číslem'!D18</f>
        <v>0</v>
      </c>
      <c r="E24" s="192">
        <f>'Objednacím číslem'!F18</f>
      </c>
      <c r="F24" s="180">
        <f>'Objednacím číslem'!G18</f>
        <v>0</v>
      </c>
    </row>
    <row r="25" spans="1:6" ht="12.75">
      <c r="A25" s="190">
        <f>'Objednacím číslem'!B19</f>
      </c>
      <c r="B25" s="191">
        <f>'Objednacím číslem'!C19</f>
        <v>0</v>
      </c>
      <c r="C25" s="191">
        <f>'Objednacím číslem'!E19</f>
      </c>
      <c r="D25" s="191">
        <f>'Objednacím číslem'!D19</f>
        <v>0</v>
      </c>
      <c r="E25" s="192">
        <f>'Objednacím číslem'!F19</f>
      </c>
      <c r="F25" s="180">
        <f>'Objednacím číslem'!G19</f>
        <v>0</v>
      </c>
    </row>
    <row r="26" spans="1:6" ht="12.75">
      <c r="A26" s="190">
        <f>'Objednacím číslem'!B20</f>
      </c>
      <c r="B26" s="191">
        <f>'Objednacím číslem'!C20</f>
        <v>0</v>
      </c>
      <c r="C26" s="191">
        <f>'Objednacím číslem'!E20</f>
      </c>
      <c r="D26" s="191">
        <f>'Objednacím číslem'!D20</f>
        <v>0</v>
      </c>
      <c r="E26" s="192">
        <f>'Objednacím číslem'!F20</f>
      </c>
      <c r="F26" s="180">
        <f>'Objednacím číslem'!G20</f>
        <v>0</v>
      </c>
    </row>
    <row r="27" spans="1:6" ht="12.75">
      <c r="A27" s="190">
        <f>'Objednacím číslem'!B21</f>
      </c>
      <c r="B27" s="191">
        <f>'Objednacím číslem'!C21</f>
        <v>0</v>
      </c>
      <c r="C27" s="191">
        <f>'Objednacím číslem'!E21</f>
      </c>
      <c r="D27" s="191">
        <f>'Objednacím číslem'!D21</f>
        <v>0</v>
      </c>
      <c r="E27" s="192">
        <f>'Objednacím číslem'!F21</f>
      </c>
      <c r="F27" s="180">
        <f>'Objednacím číslem'!G21</f>
        <v>0</v>
      </c>
    </row>
    <row r="28" spans="1:6" ht="12.75">
      <c r="A28" s="190">
        <f>'Objednacím číslem'!B22</f>
      </c>
      <c r="B28" s="191">
        <f>'Objednacím číslem'!C22</f>
        <v>0</v>
      </c>
      <c r="C28" s="191">
        <f>'Objednacím číslem'!E22</f>
      </c>
      <c r="D28" s="191">
        <f>'Objednacím číslem'!D22</f>
        <v>0</v>
      </c>
      <c r="E28" s="192">
        <f>'Objednacím číslem'!F22</f>
      </c>
      <c r="F28" s="180">
        <f>'Objednacím číslem'!G22</f>
        <v>0</v>
      </c>
    </row>
    <row r="29" spans="1:6" ht="12.75">
      <c r="A29" s="190">
        <f>'Objednacím číslem'!B23</f>
      </c>
      <c r="B29" s="191">
        <f>'Objednacím číslem'!C23</f>
        <v>0</v>
      </c>
      <c r="C29" s="191">
        <f>'Objednacím číslem'!E23</f>
      </c>
      <c r="D29" s="191">
        <f>'Objednacím číslem'!D23</f>
        <v>0</v>
      </c>
      <c r="E29" s="192">
        <f>'Objednacím číslem'!F23</f>
      </c>
      <c r="F29" s="180">
        <f>'Objednacím číslem'!G23</f>
        <v>0</v>
      </c>
    </row>
    <row r="30" spans="1:6" ht="12.75">
      <c r="A30" s="190">
        <f>'Objednacím číslem'!B24</f>
      </c>
      <c r="B30" s="191">
        <f>'Objednacím číslem'!C24</f>
        <v>0</v>
      </c>
      <c r="C30" s="191">
        <f>'Objednacím číslem'!E24</f>
      </c>
      <c r="D30" s="191">
        <f>'Objednacím číslem'!D24</f>
        <v>0</v>
      </c>
      <c r="E30" s="192">
        <f>'Objednacím číslem'!F24</f>
      </c>
      <c r="F30" s="180">
        <f>'Objednacím číslem'!G24</f>
        <v>0</v>
      </c>
    </row>
    <row r="31" spans="1:6" ht="12.75">
      <c r="A31" s="190">
        <f>'Objednacím číslem'!B25</f>
      </c>
      <c r="B31" s="191">
        <f>'Objednacím číslem'!C25</f>
        <v>0</v>
      </c>
      <c r="C31" s="191">
        <f>'Objednacím číslem'!E25</f>
      </c>
      <c r="D31" s="191">
        <f>'Objednacím číslem'!D25</f>
        <v>0</v>
      </c>
      <c r="E31" s="192">
        <f>'Objednacím číslem'!F25</f>
      </c>
      <c r="F31" s="180">
        <f>'Objednacím číslem'!G25</f>
        <v>0</v>
      </c>
    </row>
    <row r="32" spans="1:6" ht="12.75">
      <c r="A32" s="190">
        <f>'Objednacím číslem'!B26</f>
      </c>
      <c r="B32" s="191">
        <f>'Objednacím číslem'!C26</f>
        <v>0</v>
      </c>
      <c r="C32" s="191">
        <f>'Objednacím číslem'!E26</f>
      </c>
      <c r="D32" s="191">
        <f>'Objednacím číslem'!D26</f>
        <v>0</v>
      </c>
      <c r="E32" s="192">
        <f>'Objednacím číslem'!F26</f>
      </c>
      <c r="F32" s="180">
        <f>'Objednacím číslem'!G26</f>
        <v>0</v>
      </c>
    </row>
    <row r="33" spans="1:6" ht="12.75">
      <c r="A33" s="190">
        <f>'Objednacím číslem'!B27</f>
      </c>
      <c r="B33" s="191">
        <f>'Objednacím číslem'!C27</f>
        <v>0</v>
      </c>
      <c r="C33" s="191">
        <f>'Objednacím číslem'!E27</f>
      </c>
      <c r="D33" s="191">
        <f>'Objednacím číslem'!D27</f>
        <v>0</v>
      </c>
      <c r="E33" s="192">
        <f>'Objednacím číslem'!F27</f>
      </c>
      <c r="F33" s="180">
        <f>'Objednacím číslem'!G27</f>
        <v>0</v>
      </c>
    </row>
    <row r="34" spans="1:6" ht="12.75">
      <c r="A34" s="190">
        <f>'Objednacím číslem'!B28</f>
      </c>
      <c r="B34" s="191">
        <f>'Objednacím číslem'!C28</f>
        <v>0</v>
      </c>
      <c r="C34" s="191">
        <f>'Objednacím číslem'!E28</f>
      </c>
      <c r="D34" s="191">
        <f>'Objednacím číslem'!D28</f>
        <v>0</v>
      </c>
      <c r="E34" s="192">
        <f>'Objednacím číslem'!F28</f>
      </c>
      <c r="F34" s="180">
        <f>'Objednacím číslem'!G28</f>
        <v>0</v>
      </c>
    </row>
    <row r="35" spans="1:6" ht="12.75">
      <c r="A35" s="190">
        <f>'Objednacím číslem'!B29</f>
      </c>
      <c r="B35" s="191">
        <f>'Objednacím číslem'!C29</f>
        <v>0</v>
      </c>
      <c r="C35" s="191">
        <f>'Objednacím číslem'!E29</f>
      </c>
      <c r="D35" s="191">
        <f>'Objednacím číslem'!D29</f>
        <v>0</v>
      </c>
      <c r="E35" s="192">
        <f>'Objednacím číslem'!F29</f>
      </c>
      <c r="F35" s="180">
        <f>'Objednacím číslem'!G29</f>
        <v>0</v>
      </c>
    </row>
    <row r="36" spans="1:6" ht="12.75">
      <c r="A36" s="190">
        <f>'Objednacím číslem'!B30</f>
      </c>
      <c r="B36" s="191">
        <f>'Objednacím číslem'!C30</f>
        <v>0</v>
      </c>
      <c r="C36" s="191">
        <f>'Objednacím číslem'!E30</f>
      </c>
      <c r="D36" s="191">
        <f>'Objednacím číslem'!D30</f>
        <v>0</v>
      </c>
      <c r="E36" s="192">
        <f>'Objednacím číslem'!F30</f>
      </c>
      <c r="F36" s="180">
        <f>'Objednacím číslem'!G30</f>
        <v>0</v>
      </c>
    </row>
    <row r="37" spans="1:6" ht="12.75">
      <c r="A37" s="190">
        <f>'Objednacím číslem'!B31</f>
      </c>
      <c r="B37" s="191">
        <f>'Objednacím číslem'!C31</f>
        <v>0</v>
      </c>
      <c r="C37" s="191">
        <f>'Objednacím číslem'!E31</f>
      </c>
      <c r="D37" s="191">
        <f>'Objednacím číslem'!D31</f>
        <v>0</v>
      </c>
      <c r="E37" s="192">
        <f>'Objednacím číslem'!F31</f>
      </c>
      <c r="F37" s="180">
        <f>'Objednacím číslem'!G31</f>
        <v>0</v>
      </c>
    </row>
    <row r="38" spans="1:6" ht="12.75">
      <c r="A38" s="193">
        <f>'Objednacím číslem'!B32</f>
      </c>
      <c r="B38" s="194">
        <f>'Objednacím číslem'!C32</f>
        <v>0</v>
      </c>
      <c r="C38" s="194">
        <f>'Objednacím číslem'!E32</f>
      </c>
      <c r="D38" s="194">
        <f>'Objednacím číslem'!D32</f>
        <v>0</v>
      </c>
      <c r="E38" s="195">
        <f>'Objednacím číslem'!F32</f>
      </c>
      <c r="F38" s="196">
        <f>'Objednacím číslem'!G32</f>
        <v>0</v>
      </c>
    </row>
    <row r="39" spans="2:5" ht="12.75">
      <c r="B39" s="19"/>
      <c r="C39" s="33"/>
      <c r="E39" s="137"/>
    </row>
    <row r="40" spans="2:5" ht="12.75">
      <c r="B40" s="19"/>
      <c r="C40" s="33"/>
      <c r="E40" s="137"/>
    </row>
    <row r="41" spans="2:5" ht="12.75">
      <c r="B41" s="19"/>
      <c r="C41" s="33"/>
      <c r="E41" s="137"/>
    </row>
    <row r="42" spans="2:5" ht="12.75">
      <c r="B42" s="19"/>
      <c r="C42" s="33"/>
      <c r="D42" s="181" t="s">
        <v>2810</v>
      </c>
      <c r="E42" s="137">
        <f>'Objednacím číslem'!G34</f>
        <v>0</v>
      </c>
    </row>
    <row r="43" spans="2:5" ht="12.75">
      <c r="B43" s="19"/>
      <c r="C43" s="33"/>
      <c r="D43" s="181" t="s">
        <v>4313</v>
      </c>
      <c r="E43" s="230">
        <f>'Objednacím číslem'!G35</f>
        <v>0</v>
      </c>
    </row>
    <row r="44" spans="2:5" ht="12.75">
      <c r="B44" s="19"/>
      <c r="C44" s="33"/>
      <c r="D44" s="181" t="s">
        <v>2812</v>
      </c>
      <c r="E44" s="137">
        <f>'Objednacím číslem'!G36</f>
        <v>0</v>
      </c>
    </row>
    <row r="45" spans="2:5" ht="15">
      <c r="B45" s="19"/>
      <c r="C45" s="33"/>
      <c r="D45" s="182" t="s">
        <v>2811</v>
      </c>
      <c r="E45" s="197">
        <f>'Objednacím číslem'!G37</f>
        <v>0</v>
      </c>
    </row>
    <row r="52" spans="1:6" ht="12.75">
      <c r="A52" s="55"/>
      <c r="B52" s="55"/>
      <c r="C52" s="55"/>
      <c r="D52" s="56"/>
      <c r="E52" s="55"/>
      <c r="F52" s="55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&amp;L&amp;D &amp;T&amp;R&amp;F</oddHeader>
    <oddFooter>&amp;L&amp;8ABB s.r.o, ELSYNN
Heršpická 13
619 00  BRNO&amp;C&amp;8tel.: + 420 5 4321 6747
fax: + 420 5 4324 3489&amp;R&amp;8e-mail: ivan.kacal@cz.abb.com
jiri.mynarl@cz.abb.com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70"/>
  <sheetViews>
    <sheetView showGridLines="0" showRowColHeaders="0" showZeros="0" showOutlineSymbols="0" workbookViewId="0" topLeftCell="A1">
      <selection activeCell="A1" sqref="A1"/>
    </sheetView>
  </sheetViews>
  <sheetFormatPr defaultColWidth="9.125" defaultRowHeight="12.75"/>
  <cols>
    <col min="1" max="1" width="3.00390625" style="0" customWidth="1"/>
    <col min="2" max="2" width="5.00390625" style="60" customWidth="1"/>
    <col min="3" max="3" width="15.625" style="0" customWidth="1"/>
    <col min="4" max="4" width="2.875" style="0" customWidth="1"/>
    <col min="5" max="5" width="36.75390625" style="0" customWidth="1"/>
    <col min="6" max="6" width="6.125" style="0" customWidth="1"/>
    <col min="7" max="7" width="16.875" style="0" customWidth="1"/>
  </cols>
  <sheetData>
    <row r="1" spans="2:5" ht="20.25">
      <c r="B1" s="59" t="s">
        <v>2815</v>
      </c>
      <c r="C1" s="44"/>
      <c r="E1" s="88" t="s">
        <v>4919</v>
      </c>
    </row>
    <row r="2" spans="2:6" s="11" customFormat="1" ht="12.75">
      <c r="B2" s="61"/>
      <c r="C2" s="57"/>
      <c r="F2" s="58"/>
    </row>
    <row r="3" spans="2:6" s="11" customFormat="1" ht="12.75">
      <c r="B3" s="72" t="s">
        <v>1111</v>
      </c>
      <c r="C3" s="57"/>
      <c r="F3" s="58"/>
    </row>
    <row r="4" spans="2:6" s="11" customFormat="1" ht="12.75">
      <c r="B4" s="61"/>
      <c r="C4" s="57"/>
      <c r="F4" s="58"/>
    </row>
    <row r="5" spans="2:7" s="51" customFormat="1" ht="12">
      <c r="B5" s="80" t="s">
        <v>2808</v>
      </c>
      <c r="C5" s="80" t="s">
        <v>5017</v>
      </c>
      <c r="D5" s="52" t="s">
        <v>4531</v>
      </c>
      <c r="E5" s="52"/>
      <c r="F5" s="54"/>
      <c r="G5" s="128" t="s">
        <v>2809</v>
      </c>
    </row>
    <row r="6" spans="2:7" s="51" customFormat="1" ht="5.25" customHeight="1">
      <c r="B6" s="63"/>
      <c r="C6" s="64"/>
      <c r="F6" s="65"/>
      <c r="G6" s="129"/>
    </row>
    <row r="7" spans="2:7" s="51" customFormat="1" ht="12">
      <c r="B7" s="234" t="str">
        <f>IF('1-výběr'!Q10=1,"Jistič včetně příslušenství","Odpínač včetně příslušenství")</f>
        <v>Jistič včetně příslušenství</v>
      </c>
      <c r="C7" s="64"/>
      <c r="F7" s="65"/>
      <c r="G7" s="129"/>
    </row>
    <row r="8" spans="2:7" s="51" customFormat="1" ht="12">
      <c r="B8" s="81" t="s">
        <v>4723</v>
      </c>
      <c r="C8" s="84">
        <f>'1-výběr'!J4</f>
      </c>
      <c r="D8" s="51">
        <f>'1-výběr'!K4</f>
      </c>
      <c r="F8" s="53"/>
      <c r="G8" s="129">
        <f>'1-výběr'!L4</f>
      </c>
    </row>
    <row r="9" spans="2:7" s="51" customFormat="1" ht="12">
      <c r="B9" s="82">
        <f>'1-výběr'!CJ39</f>
      </c>
      <c r="C9" s="85">
        <f>'1-výběr'!CK39</f>
        <v>0</v>
      </c>
      <c r="D9" s="68">
        <f>'1-výběr'!CL39</f>
        <v>0</v>
      </c>
      <c r="F9" s="53"/>
      <c r="G9" s="129">
        <f>'1-výběr'!G44</f>
        <v>0</v>
      </c>
    </row>
    <row r="10" spans="2:7" s="51" customFormat="1" ht="12">
      <c r="B10" s="82">
        <f>'1-výběr'!CJ40</f>
      </c>
      <c r="C10" s="85">
        <f>'1-výběr'!CK40</f>
        <v>0</v>
      </c>
      <c r="D10" s="68">
        <f>'1-výběr'!CL40</f>
        <v>0</v>
      </c>
      <c r="F10" s="53"/>
      <c r="G10" s="129">
        <f>'1-výběr'!G45</f>
        <v>0</v>
      </c>
    </row>
    <row r="11" spans="2:7" s="51" customFormat="1" ht="12">
      <c r="B11" s="82">
        <f>'1-výběr'!CJ41</f>
      </c>
      <c r="C11" s="85">
        <f>'1-výběr'!CK41</f>
        <v>0</v>
      </c>
      <c r="D11" s="68">
        <f>'1-výběr'!CL41</f>
        <v>0</v>
      </c>
      <c r="F11" s="53"/>
      <c r="G11" s="129">
        <f>'1-výběr'!G46</f>
        <v>0</v>
      </c>
    </row>
    <row r="12" spans="2:7" s="51" customFormat="1" ht="12">
      <c r="B12" s="82">
        <f>'1-výběr'!CJ42</f>
      </c>
      <c r="C12" s="85">
        <f>'1-výběr'!CK42</f>
        <v>0</v>
      </c>
      <c r="D12" s="68">
        <f>'1-výběr'!CL42</f>
        <v>0</v>
      </c>
      <c r="F12" s="53"/>
      <c r="G12" s="129">
        <f>'1-výběr'!G47</f>
        <v>0</v>
      </c>
    </row>
    <row r="13" spans="2:7" s="51" customFormat="1" ht="12">
      <c r="B13" s="82">
        <f>'1-výběr'!CJ43</f>
      </c>
      <c r="C13" s="85">
        <f>'1-výběr'!CK43</f>
        <v>0</v>
      </c>
      <c r="D13" s="68">
        <f>'1-výběr'!CL43</f>
        <v>0</v>
      </c>
      <c r="F13" s="53"/>
      <c r="G13" s="129">
        <f>'1-výběr'!G48</f>
        <v>0</v>
      </c>
    </row>
    <row r="14" spans="2:7" s="51" customFormat="1" ht="12">
      <c r="B14" s="82">
        <f>'1-výběr'!CJ44</f>
      </c>
      <c r="C14" s="85">
        <f>'1-výběr'!CK44</f>
        <v>0</v>
      </c>
      <c r="D14" s="68">
        <f>'1-výběr'!CL44</f>
        <v>0</v>
      </c>
      <c r="F14" s="53"/>
      <c r="G14" s="129">
        <f>'1-výběr'!G49</f>
        <v>0</v>
      </c>
    </row>
    <row r="15" spans="2:7" s="51" customFormat="1" ht="12">
      <c r="B15" s="82">
        <f>'1-výběr'!CJ45</f>
      </c>
      <c r="C15" s="85">
        <f>'1-výběr'!CK45</f>
        <v>0</v>
      </c>
      <c r="D15" s="68">
        <f>'1-výběr'!CL45</f>
        <v>0</v>
      </c>
      <c r="F15" s="53"/>
      <c r="G15" s="129">
        <f>'1-výběr'!G50</f>
        <v>0</v>
      </c>
    </row>
    <row r="16" spans="2:7" s="51" customFormat="1" ht="12">
      <c r="B16" s="82">
        <f>'1-výběr'!CJ46</f>
      </c>
      <c r="C16" s="85">
        <f>'1-výběr'!CK46</f>
        <v>0</v>
      </c>
      <c r="D16" s="68">
        <f>'1-výběr'!CL46</f>
        <v>0</v>
      </c>
      <c r="F16" s="53"/>
      <c r="G16" s="129">
        <f>'1-výběr'!G51</f>
        <v>0</v>
      </c>
    </row>
    <row r="17" spans="2:7" s="51" customFormat="1" ht="12">
      <c r="B17" s="82">
        <f>'1-výběr'!CJ47</f>
      </c>
      <c r="C17" s="85">
        <f>'1-výběr'!CK47</f>
        <v>0</v>
      </c>
      <c r="D17" s="68">
        <f>'1-výběr'!CL47</f>
        <v>0</v>
      </c>
      <c r="F17" s="53"/>
      <c r="G17" s="129">
        <f>'1-výběr'!G52</f>
        <v>0</v>
      </c>
    </row>
    <row r="18" spans="2:7" s="51" customFormat="1" ht="12">
      <c r="B18" s="82">
        <f>'1-výběr'!CJ48</f>
      </c>
      <c r="C18" s="85">
        <f>'1-výběr'!CK48</f>
        <v>0</v>
      </c>
      <c r="D18" s="68">
        <f>'1-výběr'!CL48</f>
        <v>0</v>
      </c>
      <c r="F18" s="53"/>
      <c r="G18" s="129">
        <f>'1-výběr'!G53</f>
        <v>0</v>
      </c>
    </row>
    <row r="19" spans="2:7" s="51" customFormat="1" ht="12">
      <c r="B19" s="82">
        <f>'1-výběr'!CJ49</f>
      </c>
      <c r="C19" s="85">
        <f>'1-výběr'!CK49</f>
        <v>0</v>
      </c>
      <c r="D19" s="68">
        <f>'1-výběr'!CL49</f>
        <v>0</v>
      </c>
      <c r="F19" s="53"/>
      <c r="G19" s="129">
        <f>'1-výběr'!G54</f>
        <v>0</v>
      </c>
    </row>
    <row r="20" spans="2:7" s="51" customFormat="1" ht="12">
      <c r="B20" s="82">
        <f>'1-výběr'!CJ50</f>
      </c>
      <c r="C20" s="85">
        <f>'1-výběr'!CK50</f>
        <v>0</v>
      </c>
      <c r="D20" s="68">
        <f>'1-výběr'!CL50</f>
        <v>0</v>
      </c>
      <c r="F20" s="53"/>
      <c r="G20" s="129">
        <f>'1-výběr'!G55</f>
        <v>0</v>
      </c>
    </row>
    <row r="21" spans="2:7" s="51" customFormat="1" ht="12">
      <c r="B21" s="82">
        <f>'1-výběr'!CJ51</f>
      </c>
      <c r="C21" s="82">
        <f>'1-výběr'!CK51</f>
        <v>0</v>
      </c>
      <c r="D21" s="68">
        <f>'1-výběr'!CL51</f>
        <v>0</v>
      </c>
      <c r="F21" s="53"/>
      <c r="G21" s="129">
        <f>'1-výběr'!G56</f>
        <v>0</v>
      </c>
    </row>
    <row r="22" spans="2:7" s="51" customFormat="1" ht="12">
      <c r="B22" s="82">
        <f>'1-výběr'!CJ52</f>
      </c>
      <c r="C22" s="82">
        <f>'1-výběr'!CK52</f>
        <v>0</v>
      </c>
      <c r="D22" s="91">
        <f>'1-výběr'!CL52</f>
        <v>0</v>
      </c>
      <c r="E22" s="92"/>
      <c r="F22" s="53"/>
      <c r="G22" s="131">
        <f>'1-výběr'!G57</f>
        <v>0</v>
      </c>
    </row>
    <row r="23" spans="2:7" s="51" customFormat="1" ht="12">
      <c r="B23" s="328">
        <f>'1-výběr'!CJ53</f>
      </c>
      <c r="C23" s="328">
        <f>'1-výběr'!CK53</f>
        <v>0</v>
      </c>
      <c r="D23" s="51">
        <f>'1-výběr'!CL53</f>
        <v>0</v>
      </c>
      <c r="F23" s="328"/>
      <c r="G23" s="51">
        <f>'1-výběr'!G58</f>
        <v>0</v>
      </c>
    </row>
    <row r="24" spans="2:7" s="51" customFormat="1" ht="12">
      <c r="B24" s="82">
        <f>'1-výběr'!CJ54</f>
      </c>
      <c r="C24" s="85">
        <f>'1-výběr'!CK54</f>
        <v>0</v>
      </c>
      <c r="D24" s="91">
        <f>'1-výběr'!CL54</f>
        <v>0</v>
      </c>
      <c r="E24" s="92"/>
      <c r="F24" s="53"/>
      <c r="G24" s="131">
        <f>'1-výběr'!G59</f>
        <v>0</v>
      </c>
    </row>
    <row r="25" spans="2:7" s="51" customFormat="1" ht="12">
      <c r="B25" s="83">
        <f>'1-výběr'!CJ55</f>
      </c>
      <c r="C25" s="86">
        <f>'1-výběr'!CK55</f>
        <v>0</v>
      </c>
      <c r="D25" s="79">
        <f>'1-výběr'!CL55</f>
        <v>0</v>
      </c>
      <c r="E25" s="52"/>
      <c r="F25" s="54"/>
      <c r="G25" s="130">
        <f>'1-výběr'!G60</f>
        <v>0</v>
      </c>
    </row>
    <row r="26" spans="2:7" s="51" customFormat="1" ht="12">
      <c r="B26" s="91" t="s">
        <v>4901</v>
      </c>
      <c r="C26" s="91"/>
      <c r="D26" s="91" t="str">
        <f>'1-výběr'!CK2</f>
        <v> </v>
      </c>
      <c r="E26" s="92"/>
      <c r="F26" s="93"/>
      <c r="G26" s="131"/>
    </row>
    <row r="27" spans="2:7" s="51" customFormat="1" ht="12">
      <c r="B27" s="67"/>
      <c r="C27" s="90"/>
      <c r="E27" s="71" t="s">
        <v>2844</v>
      </c>
      <c r="F27" s="70"/>
      <c r="G27" s="132">
        <f>SUM(G8:G26)</f>
        <v>0</v>
      </c>
    </row>
    <row r="28" spans="2:7" s="51" customFormat="1" ht="12">
      <c r="B28" s="67"/>
      <c r="C28" s="64"/>
      <c r="F28" s="65"/>
      <c r="G28" s="129"/>
    </row>
    <row r="29" spans="2:7" s="51" customFormat="1" ht="12">
      <c r="B29" s="75" t="s">
        <v>4724</v>
      </c>
      <c r="C29" s="64"/>
      <c r="F29" s="65"/>
      <c r="G29" s="129"/>
    </row>
    <row r="30" spans="2:7" s="51" customFormat="1" ht="12">
      <c r="B30" s="81" t="s">
        <v>4725</v>
      </c>
      <c r="C30" s="87">
        <f>'1-výběr'!J6</f>
      </c>
      <c r="D30" s="51">
        <f>'1-výběr'!K6</f>
      </c>
      <c r="F30" s="53"/>
      <c r="G30" s="133">
        <f>'1-výběr'!L6</f>
      </c>
    </row>
    <row r="31" spans="2:7" s="51" customFormat="1" ht="12">
      <c r="B31" s="82">
        <f>'1-výběr'!CR39</f>
      </c>
      <c r="C31" s="85">
        <f>'1-výběr'!CS39</f>
        <v>0</v>
      </c>
      <c r="D31" s="68">
        <f>'1-výběr'!CT39</f>
        <v>0</v>
      </c>
      <c r="F31" s="53"/>
      <c r="G31" s="129">
        <f>'1-výběr'!J44</f>
        <v>0</v>
      </c>
    </row>
    <row r="32" spans="2:7" s="51" customFormat="1" ht="12">
      <c r="B32" s="82">
        <f>'1-výběr'!CR40</f>
      </c>
      <c r="C32" s="82">
        <f>'1-výběr'!CS40</f>
        <v>0</v>
      </c>
      <c r="D32" s="91">
        <f>'1-výběr'!CT40</f>
        <v>0</v>
      </c>
      <c r="E32" s="92"/>
      <c r="F32" s="53"/>
      <c r="G32" s="131">
        <f>'1-výběr'!J45</f>
        <v>0</v>
      </c>
    </row>
    <row r="33" spans="2:7" s="51" customFormat="1" ht="12">
      <c r="B33" s="83">
        <f>'1-výběr'!CR41</f>
      </c>
      <c r="C33" s="86">
        <f>'1-výběr'!CS41</f>
        <v>0</v>
      </c>
      <c r="D33" s="79">
        <f>'1-výběr'!CT41</f>
        <v>0</v>
      </c>
      <c r="E33" s="52"/>
      <c r="F33" s="54"/>
      <c r="G33" s="130">
        <f>'1-výběr'!J46</f>
        <v>0</v>
      </c>
    </row>
    <row r="34" spans="2:7" s="51" customFormat="1" ht="12">
      <c r="B34" s="91" t="s">
        <v>4901</v>
      </c>
      <c r="C34" s="91"/>
      <c r="D34" s="91" t="str">
        <f>'1-výběr'!CM2</f>
        <v> </v>
      </c>
      <c r="E34" s="92"/>
      <c r="F34" s="93"/>
      <c r="G34" s="131"/>
    </row>
    <row r="35" spans="2:7" s="51" customFormat="1" ht="12">
      <c r="B35" s="68"/>
      <c r="C35" s="66"/>
      <c r="E35" s="71" t="s">
        <v>2844</v>
      </c>
      <c r="F35" s="65"/>
      <c r="G35" s="132">
        <f>SUM(G30:G34)</f>
        <v>0</v>
      </c>
    </row>
    <row r="36" spans="2:7" s="51" customFormat="1" ht="12">
      <c r="B36" s="68"/>
      <c r="C36" s="64"/>
      <c r="F36" s="65"/>
      <c r="G36" s="129"/>
    </row>
    <row r="37" spans="2:7" s="51" customFormat="1" ht="12">
      <c r="B37" s="75" t="s">
        <v>2807</v>
      </c>
      <c r="C37" s="64"/>
      <c r="F37" s="65"/>
      <c r="G37" s="129"/>
    </row>
    <row r="38" spans="2:7" s="51" customFormat="1" ht="12">
      <c r="B38" s="82">
        <f>'1-výběr'!CZ39</f>
      </c>
      <c r="C38" s="85">
        <f>'1-výběr'!DA39</f>
        <v>0</v>
      </c>
      <c r="D38" s="68">
        <f>'1-výběr'!DB39</f>
        <v>0</v>
      </c>
      <c r="F38" s="53"/>
      <c r="G38" s="129">
        <f>'1-výběr'!L44</f>
        <v>0</v>
      </c>
    </row>
    <row r="39" spans="2:7" s="51" customFormat="1" ht="12">
      <c r="B39" s="82">
        <f>'1-výběr'!CZ40</f>
      </c>
      <c r="C39" s="85">
        <f>'1-výběr'!DA40</f>
        <v>0</v>
      </c>
      <c r="D39" s="68">
        <f>'1-výběr'!DB40</f>
        <v>0</v>
      </c>
      <c r="F39" s="53"/>
      <c r="G39" s="129">
        <f>'1-výběr'!L45</f>
        <v>0</v>
      </c>
    </row>
    <row r="40" spans="2:7" s="11" customFormat="1" ht="12.75">
      <c r="B40" s="82">
        <f>'1-výběr'!CZ41</f>
      </c>
      <c r="C40" s="85">
        <f>'1-výběr'!DA41</f>
        <v>0</v>
      </c>
      <c r="D40" s="91">
        <f>'1-výběr'!DB41</f>
        <v>0</v>
      </c>
      <c r="E40" s="92"/>
      <c r="F40" s="53"/>
      <c r="G40" s="131">
        <f>'1-výběr'!L46</f>
        <v>0</v>
      </c>
    </row>
    <row r="41" spans="2:7" s="11" customFormat="1" ht="12.75">
      <c r="B41" s="83">
        <f>'1-výběr'!CZ42</f>
      </c>
      <c r="C41" s="86">
        <f>'1-výběr'!DA42</f>
        <v>0</v>
      </c>
      <c r="D41" s="79">
        <f>'1-výběr'!DB42</f>
        <v>0</v>
      </c>
      <c r="E41" s="52"/>
      <c r="F41" s="54"/>
      <c r="G41" s="130">
        <f>'1-výběr'!L47</f>
        <v>0</v>
      </c>
    </row>
    <row r="42" spans="2:7" s="11" customFormat="1" ht="12.75">
      <c r="B42" s="67"/>
      <c r="C42" s="64"/>
      <c r="D42" s="51"/>
      <c r="E42" s="71" t="s">
        <v>2844</v>
      </c>
      <c r="F42" s="65"/>
      <c r="G42" s="132">
        <f>SUM(G38:G41)</f>
        <v>0</v>
      </c>
    </row>
    <row r="43" spans="2:6" s="11" customFormat="1" ht="12.75">
      <c r="B43" s="62"/>
      <c r="C43" s="57"/>
      <c r="F43" s="58"/>
    </row>
    <row r="44" spans="2:7" s="11" customFormat="1" ht="12.75">
      <c r="B44" s="62"/>
      <c r="C44" s="57"/>
      <c r="E44" s="15" t="s">
        <v>2810</v>
      </c>
      <c r="F44" s="69"/>
      <c r="G44" s="136">
        <f>SUM(G42,G35,G27)</f>
        <v>0</v>
      </c>
    </row>
    <row r="45" spans="2:7" s="11" customFormat="1" ht="12.75">
      <c r="B45" s="62"/>
      <c r="C45" s="57"/>
      <c r="E45" s="15" t="s">
        <v>2843</v>
      </c>
      <c r="F45" s="69"/>
      <c r="G45" s="15">
        <v>1</v>
      </c>
    </row>
    <row r="46" spans="2:7" s="11" customFormat="1" ht="12.75">
      <c r="B46" s="62"/>
      <c r="C46" s="57"/>
      <c r="E46" s="15" t="s">
        <v>2844</v>
      </c>
      <c r="F46" s="69"/>
      <c r="G46" s="136">
        <f>G45*G44</f>
        <v>0</v>
      </c>
    </row>
    <row r="47" spans="2:7" s="11" customFormat="1" ht="12.75">
      <c r="B47" s="62"/>
      <c r="C47" s="57"/>
      <c r="E47" s="15" t="s">
        <v>2812</v>
      </c>
      <c r="F47" s="69"/>
      <c r="G47" s="73">
        <f>'1-výběr'!P37</f>
        <v>0</v>
      </c>
    </row>
    <row r="48" spans="2:7" s="11" customFormat="1" ht="12.75">
      <c r="B48" s="62"/>
      <c r="C48" s="57"/>
      <c r="E48" s="15"/>
      <c r="F48" s="69"/>
      <c r="G48" s="136"/>
    </row>
    <row r="49" spans="2:7" s="11" customFormat="1" ht="12.75">
      <c r="B49" s="62"/>
      <c r="C49" s="57"/>
      <c r="E49" s="15"/>
      <c r="F49" s="69"/>
      <c r="G49" s="74"/>
    </row>
    <row r="50" spans="2:7" s="11" customFormat="1" ht="12.75">
      <c r="B50" s="62"/>
      <c r="C50" s="57"/>
      <c r="E50" s="17"/>
      <c r="F50" s="69"/>
      <c r="G50" s="74"/>
    </row>
    <row r="51" spans="2:7" s="11" customFormat="1" ht="12.75">
      <c r="B51" s="62"/>
      <c r="C51" s="57"/>
      <c r="E51" s="15"/>
      <c r="F51" s="69"/>
      <c r="G51" s="74"/>
    </row>
    <row r="52" spans="2:6" s="76" customFormat="1" ht="9.75">
      <c r="B52" s="89" t="s">
        <v>4517</v>
      </c>
      <c r="F52" s="77"/>
    </row>
    <row r="53" s="76" customFormat="1" ht="3.75" customHeight="1">
      <c r="F53" s="77"/>
    </row>
    <row r="54" spans="2:6" s="76" customFormat="1" ht="9.75">
      <c r="B54" s="76" t="s">
        <v>5007</v>
      </c>
      <c r="F54" s="78" t="str">
        <f>'4-technická specifikace'!F4</f>
        <v>E1B</v>
      </c>
    </row>
    <row r="55" spans="2:6" s="76" customFormat="1" ht="9.75">
      <c r="B55" s="76" t="s">
        <v>4529</v>
      </c>
      <c r="F55" s="78" t="str">
        <f>'4-technická specifikace'!F5</f>
        <v>Selektivní</v>
      </c>
    </row>
    <row r="56" spans="2:7" s="76" customFormat="1" ht="9.75">
      <c r="B56" s="76" t="s">
        <v>4518</v>
      </c>
      <c r="F56" s="78">
        <f>'4-technická specifikace'!F6</f>
        <v>800</v>
      </c>
      <c r="G56" s="76" t="s">
        <v>2813</v>
      </c>
    </row>
    <row r="57" spans="2:7" s="76" customFormat="1" ht="9.75">
      <c r="B57" s="76" t="s">
        <v>4519</v>
      </c>
      <c r="F57" s="78">
        <f>'4-technická specifikace'!F7</f>
        <v>42</v>
      </c>
      <c r="G57" s="76" t="s">
        <v>2814</v>
      </c>
    </row>
    <row r="58" spans="2:7" s="76" customFormat="1" ht="9.75">
      <c r="B58" s="76" t="str">
        <f>'4-technická specifikace'!B8</f>
        <v>Provozní vypínací schopnost (415 Vstř.) Ics:</v>
      </c>
      <c r="F58" s="78">
        <f>'4-technická specifikace'!F8</f>
        <v>42</v>
      </c>
      <c r="G58" s="76" t="s">
        <v>2814</v>
      </c>
    </row>
    <row r="59" spans="2:7" s="76" customFormat="1" ht="9.75">
      <c r="B59" s="76" t="s">
        <v>4520</v>
      </c>
      <c r="F59" s="78">
        <f>'4-technická specifikace'!F9</f>
        <v>36</v>
      </c>
      <c r="G59" s="76" t="s">
        <v>2814</v>
      </c>
    </row>
    <row r="60" spans="2:6" s="76" customFormat="1" ht="9.75">
      <c r="B60" s="76" t="s">
        <v>4521</v>
      </c>
      <c r="F60" s="78">
        <f>'4-technická specifikace'!F10</f>
        <v>3</v>
      </c>
    </row>
    <row r="61" spans="2:6" s="76" customFormat="1" ht="9.75">
      <c r="B61" s="76" t="s">
        <v>4522</v>
      </c>
      <c r="F61" s="78" t="str">
        <f>'4-technická specifikace'!F11</f>
        <v>Výsuvné</v>
      </c>
    </row>
    <row r="62" spans="2:6" s="76" customFormat="1" ht="9.75">
      <c r="B62" s="76" t="s">
        <v>4523</v>
      </c>
      <c r="F62" s="78" t="str">
        <f>'4-technická specifikace'!F12</f>
        <v>Zadní vodorovné (HR)</v>
      </c>
    </row>
    <row r="63" spans="2:6" s="76" customFormat="1" ht="9.75">
      <c r="B63" s="76" t="s">
        <v>4524</v>
      </c>
      <c r="F63" s="78" t="str">
        <f>'4-technická specifikace'!F13</f>
        <v>PR111</v>
      </c>
    </row>
    <row r="64" spans="1:7" s="76" customFormat="1" ht="9.75">
      <c r="A64" s="102"/>
      <c r="B64" s="102" t="s">
        <v>4525</v>
      </c>
      <c r="C64" s="102"/>
      <c r="D64" s="102"/>
      <c r="E64" s="102"/>
      <c r="F64" s="103" t="str">
        <f>'4-technická specifikace'!F14</f>
        <v>LI.</v>
      </c>
      <c r="G64" s="102"/>
    </row>
    <row r="65" spans="1:7" ht="12.75">
      <c r="A65" s="47"/>
      <c r="B65" s="50"/>
      <c r="C65" s="47"/>
      <c r="D65" s="47"/>
      <c r="E65" s="47"/>
      <c r="F65" s="48"/>
      <c r="G65" s="47"/>
    </row>
    <row r="66" spans="1:7" ht="12.75">
      <c r="A66" s="47"/>
      <c r="B66" s="50"/>
      <c r="C66" s="49"/>
      <c r="D66" s="47"/>
      <c r="E66" s="47"/>
      <c r="F66" s="48"/>
      <c r="G66" s="47"/>
    </row>
    <row r="67" spans="1:7" ht="12.75">
      <c r="A67" s="47"/>
      <c r="B67" s="50"/>
      <c r="C67" s="47"/>
      <c r="D67" s="47"/>
      <c r="E67" s="50"/>
      <c r="F67" s="48"/>
      <c r="G67" s="47"/>
    </row>
    <row r="68" spans="1:7" ht="12.75">
      <c r="A68" s="47"/>
      <c r="B68" s="50"/>
      <c r="C68" s="47"/>
      <c r="D68" s="47"/>
      <c r="E68" s="50"/>
      <c r="F68" s="48"/>
      <c r="G68" s="47"/>
    </row>
    <row r="69" spans="1:7" ht="12.75">
      <c r="A69" s="47"/>
      <c r="B69" s="50"/>
      <c r="C69" s="47"/>
      <c r="D69" s="47"/>
      <c r="E69" s="50"/>
      <c r="F69" s="48"/>
      <c r="G69" s="47"/>
    </row>
    <row r="70" spans="1:7" ht="12.75">
      <c r="A70" s="47"/>
      <c r="B70" s="50"/>
      <c r="C70" s="47"/>
      <c r="D70" s="47"/>
      <c r="E70" s="50"/>
      <c r="F70" s="48"/>
      <c r="G70" s="47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2"/>
  <headerFooter alignWithMargins="0">
    <oddHeader>&amp;L&amp;D &amp;T&amp;R&amp;F</oddHeader>
    <oddFooter>&amp;L&amp;8ABB s.r.o., ELSYNN
Heršpická 13
619 00  BRNO&amp;C&amp;8tel.: + 420 5 4321 6747
fax: + 420 5 4324 3489&amp;R&amp;8e-mail: ivan.kacal@cz.abb.com
jiri.mynar@cz.abb.com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ABB ELSYNN,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Kácal</dc:creator>
  <cp:keywords/>
  <dc:description/>
  <cp:lastModifiedBy>Ivan Kácal</cp:lastModifiedBy>
  <cp:lastPrinted>2003-03-18T08:59:08Z</cp:lastPrinted>
  <dcterms:created xsi:type="dcterms:W3CDTF">1999-09-07T08:59:00Z</dcterms:created>
  <dcterms:modified xsi:type="dcterms:W3CDTF">2006-03-20T13:11:58Z</dcterms:modified>
  <cp:category/>
  <cp:version/>
  <cp:contentType/>
  <cp:contentStatus/>
</cp:coreProperties>
</file>